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DieseArbeitsmappe"/>
  <bookViews>
    <workbookView xWindow="-15" yWindow="60" windowWidth="13050" windowHeight="13680" tabRatio="749"/>
  </bookViews>
  <sheets>
    <sheet name="Alle" sheetId="1" r:id="rId1"/>
    <sheet name="AG" sheetId="4" r:id="rId2"/>
    <sheet name="NE" sheetId="18" r:id="rId3"/>
    <sheet name="SH" sheetId="14" r:id="rId4"/>
    <sheet name="VS" sheetId="7" r:id="rId5"/>
    <sheet name="AI" sheetId="30" r:id="rId6"/>
    <sheet name="BE" sheetId="28" r:id="rId7"/>
    <sheet name="SZ" sheetId="12" r:id="rId8"/>
    <sheet name="AR" sheetId="29" r:id="rId9"/>
    <sheet name="BL" sheetId="27" r:id="rId10"/>
    <sheet name="BS" sheetId="26" r:id="rId11"/>
    <sheet name="FR" sheetId="25" r:id="rId12"/>
    <sheet name="GE" sheetId="24" r:id="rId13"/>
    <sheet name="GL" sheetId="22" r:id="rId14"/>
    <sheet name="GR" sheetId="21" r:id="rId15"/>
    <sheet name="JU" sheetId="20" r:id="rId16"/>
    <sheet name="LU" sheetId="31" r:id="rId17"/>
    <sheet name="NW" sheetId="17" r:id="rId18"/>
    <sheet name="OW" sheetId="16" r:id="rId19"/>
    <sheet name="SG" sheetId="15" r:id="rId20"/>
    <sheet name="SO" sheetId="13" r:id="rId21"/>
    <sheet name="TG" sheetId="11" r:id="rId22"/>
    <sheet name="TI" sheetId="10" r:id="rId23"/>
    <sheet name="UR" sheetId="9" r:id="rId24"/>
    <sheet name="VD" sheetId="8" r:id="rId25"/>
    <sheet name="ZG" sheetId="6" r:id="rId26"/>
    <sheet name="ZH" sheetId="5" r:id="rId27"/>
  </sheets>
  <definedNames>
    <definedName name="_xlnm.Print_Area" localSheetId="1">AG!$A$1:$U$36</definedName>
    <definedName name="_xlnm.Print_Area" localSheetId="5">AI!$A$1:$T$36</definedName>
    <definedName name="_xlnm.Print_Area" localSheetId="12">GE!$A$1:$U$37</definedName>
    <definedName name="_xlnm.Print_Area" localSheetId="26">ZH!$A$1:$U$36</definedName>
  </definedNames>
  <calcPr calcId="145621"/>
</workbook>
</file>

<file path=xl/calcChain.xml><?xml version="1.0" encoding="utf-8"?>
<calcChain xmlns="http://schemas.openxmlformats.org/spreadsheetml/2006/main">
  <c r="U16" i="1" l="1"/>
  <c r="U56" i="1" s="1"/>
  <c r="U11" i="7"/>
  <c r="U6" i="7"/>
  <c r="U30" i="1"/>
  <c r="U70" i="1" s="1"/>
  <c r="U23" i="14"/>
  <c r="U21" i="14" s="1"/>
  <c r="U13" i="1"/>
  <c r="U53" i="1" s="1"/>
  <c r="U41" i="1"/>
  <c r="U34" i="1"/>
  <c r="U74" i="1" s="1"/>
  <c r="U32" i="1"/>
  <c r="U72" i="1" s="1"/>
  <c r="U28" i="1"/>
  <c r="U68" i="1" s="1"/>
  <c r="U18" i="1"/>
  <c r="U58" i="1" s="1"/>
  <c r="U23" i="30"/>
  <c r="U21" i="30" s="1"/>
  <c r="U11" i="30"/>
  <c r="U6" i="30"/>
  <c r="U23" i="28"/>
  <c r="U21" i="28" s="1"/>
  <c r="U23" i="12"/>
  <c r="U21" i="12" s="1"/>
  <c r="U11" i="29"/>
  <c r="U11" i="27"/>
  <c r="U6" i="27"/>
  <c r="U23" i="26"/>
  <c r="U11" i="26"/>
  <c r="U23" i="25"/>
  <c r="U21" i="25" s="1"/>
  <c r="U6" i="25"/>
  <c r="U23" i="24"/>
  <c r="U21" i="24" s="1"/>
  <c r="U11" i="22"/>
  <c r="U6" i="22"/>
  <c r="U11" i="21"/>
  <c r="U6" i="21"/>
  <c r="U4" i="21" s="1"/>
  <c r="U23" i="20"/>
  <c r="U21" i="20" s="1"/>
  <c r="U11" i="20"/>
  <c r="U6" i="20"/>
  <c r="U6" i="31"/>
  <c r="U11" i="17"/>
  <c r="U6" i="17"/>
  <c r="U11" i="16"/>
  <c r="U23" i="15"/>
  <c r="U21" i="15" s="1"/>
  <c r="U11" i="15"/>
  <c r="U11" i="13"/>
  <c r="U6" i="13"/>
  <c r="U23" i="11"/>
  <c r="U21" i="11" s="1"/>
  <c r="U11" i="11"/>
  <c r="U6" i="11"/>
  <c r="U23" i="10"/>
  <c r="U21" i="10" s="1"/>
  <c r="U23" i="9"/>
  <c r="U21" i="9" s="1"/>
  <c r="U11" i="8"/>
  <c r="U23" i="6"/>
  <c r="U21" i="6" s="1"/>
  <c r="U11" i="6"/>
  <c r="U6" i="6"/>
  <c r="U23" i="5"/>
  <c r="U23" i="4"/>
  <c r="U21" i="4" s="1"/>
  <c r="U6" i="4"/>
  <c r="U4" i="11" l="1"/>
  <c r="U4" i="17"/>
  <c r="U4" i="22"/>
  <c r="U23" i="7"/>
  <c r="U21" i="7" s="1"/>
  <c r="U25" i="1"/>
  <c r="U65" i="1" s="1"/>
  <c r="U11" i="14"/>
  <c r="U6" i="14"/>
  <c r="U8" i="1"/>
  <c r="U48" i="1" s="1"/>
  <c r="U4" i="7"/>
  <c r="U12" i="1"/>
  <c r="U52" i="1" s="1"/>
  <c r="U24" i="1"/>
  <c r="U64" i="1" s="1"/>
  <c r="U14" i="1"/>
  <c r="U54" i="1" s="1"/>
  <c r="U9" i="1"/>
  <c r="U49" i="1" s="1"/>
  <c r="U7" i="1"/>
  <c r="U47" i="1" s="1"/>
  <c r="U26" i="1"/>
  <c r="U66" i="1" s="1"/>
  <c r="U6" i="18"/>
  <c r="U11" i="18"/>
  <c r="U23" i="18"/>
  <c r="U21" i="18" s="1"/>
  <c r="U4" i="27"/>
  <c r="U4" i="6"/>
  <c r="U4" i="30"/>
  <c r="U21" i="5"/>
  <c r="U4" i="13"/>
  <c r="U23" i="31"/>
  <c r="U21" i="31" s="1"/>
  <c r="U11" i="5"/>
  <c r="U6" i="8"/>
  <c r="U4" i="8" s="1"/>
  <c r="U11" i="9"/>
  <c r="U6" i="10"/>
  <c r="U11" i="10"/>
  <c r="U23" i="13"/>
  <c r="U21" i="13" s="1"/>
  <c r="U6" i="15"/>
  <c r="U4" i="15" s="1"/>
  <c r="U23" i="17"/>
  <c r="U21" i="17" s="1"/>
  <c r="U23" i="21"/>
  <c r="U21" i="21" s="1"/>
  <c r="U23" i="22"/>
  <c r="U21" i="22" s="1"/>
  <c r="U11" i="24"/>
  <c r="U6" i="26"/>
  <c r="U4" i="26" s="1"/>
  <c r="U6" i="29"/>
  <c r="U4" i="29" s="1"/>
  <c r="U11" i="12"/>
  <c r="U6" i="28"/>
  <c r="U11" i="28"/>
  <c r="U6" i="16"/>
  <c r="U4" i="16" s="1"/>
  <c r="U21" i="26"/>
  <c r="U23" i="27"/>
  <c r="U21" i="27" s="1"/>
  <c r="U11" i="4"/>
  <c r="U6" i="5"/>
  <c r="U4" i="5" s="1"/>
  <c r="U23" i="8"/>
  <c r="U21" i="8" s="1"/>
  <c r="U6" i="9"/>
  <c r="U4" i="9" s="1"/>
  <c r="U23" i="16"/>
  <c r="U21" i="16" s="1"/>
  <c r="U11" i="31"/>
  <c r="U4" i="31" s="1"/>
  <c r="U6" i="24"/>
  <c r="U11" i="25"/>
  <c r="U4" i="25" s="1"/>
  <c r="U23" i="29"/>
  <c r="U21" i="29" s="1"/>
  <c r="U6" i="12"/>
  <c r="U4" i="12" s="1"/>
  <c r="U4" i="20"/>
  <c r="U4" i="4"/>
  <c r="T41" i="1"/>
  <c r="T28" i="1"/>
  <c r="T68" i="1" s="1"/>
  <c r="T18" i="1"/>
  <c r="T58" i="1" s="1"/>
  <c r="T23" i="14"/>
  <c r="T21" i="14" s="1"/>
  <c r="T11" i="14"/>
  <c r="T6" i="14"/>
  <c r="T23" i="7"/>
  <c r="T21" i="7" s="1"/>
  <c r="T11" i="7"/>
  <c r="T6" i="7"/>
  <c r="T23" i="18"/>
  <c r="T21" i="18" s="1"/>
  <c r="T11" i="18"/>
  <c r="T6" i="18"/>
  <c r="U4" i="24" l="1"/>
  <c r="U4" i="18"/>
  <c r="U4" i="28"/>
  <c r="U4" i="14"/>
  <c r="T4" i="14"/>
  <c r="T4" i="18"/>
  <c r="T4" i="7"/>
  <c r="U11" i="1"/>
  <c r="U51" i="1" s="1"/>
  <c r="U23" i="1"/>
  <c r="U21" i="1" s="1"/>
  <c r="U6" i="1"/>
  <c r="U4" i="10"/>
  <c r="T30" i="1"/>
  <c r="T70" i="1" s="1"/>
  <c r="T24" i="1"/>
  <c r="T64" i="1" s="1"/>
  <c r="T8" i="1"/>
  <c r="T48" i="1" s="1"/>
  <c r="T12" i="1"/>
  <c r="T32" i="1"/>
  <c r="T72" i="1" s="1"/>
  <c r="T14" i="1"/>
  <c r="T54" i="1" s="1"/>
  <c r="T7" i="1"/>
  <c r="T13" i="1"/>
  <c r="T53" i="1" s="1"/>
  <c r="T25" i="1"/>
  <c r="T65" i="1" s="1"/>
  <c r="T34" i="1"/>
  <c r="T74" i="1" s="1"/>
  <c r="T11" i="21"/>
  <c r="T11" i="26"/>
  <c r="T23" i="26"/>
  <c r="T21" i="26" s="1"/>
  <c r="T16" i="1"/>
  <c r="T56" i="1" s="1"/>
  <c r="T26" i="1"/>
  <c r="T66" i="1" s="1"/>
  <c r="T9" i="1"/>
  <c r="T49" i="1" s="1"/>
  <c r="T23" i="30"/>
  <c r="T21" i="30" s="1"/>
  <c r="T11" i="10"/>
  <c r="T23" i="10"/>
  <c r="T21" i="10" s="1"/>
  <c r="T11" i="11"/>
  <c r="T6" i="21"/>
  <c r="T23" i="31"/>
  <c r="T21" i="31" s="1"/>
  <c r="T6" i="28"/>
  <c r="T23" i="8"/>
  <c r="T21" i="8" s="1"/>
  <c r="T6" i="5"/>
  <c r="T6" i="16"/>
  <c r="T23" i="24"/>
  <c r="T21" i="24" s="1"/>
  <c r="T6" i="25"/>
  <c r="T6" i="4"/>
  <c r="T6" i="10"/>
  <c r="T23" i="13"/>
  <c r="T21" i="13" s="1"/>
  <c r="T6" i="17"/>
  <c r="T11" i="31"/>
  <c r="T11" i="20"/>
  <c r="T23" i="22"/>
  <c r="T21" i="22" s="1"/>
  <c r="T6" i="24"/>
  <c r="T23" i="29"/>
  <c r="T21" i="29" s="1"/>
  <c r="T23" i="12"/>
  <c r="T21" i="12" s="1"/>
  <c r="T23" i="9"/>
  <c r="T21" i="9" s="1"/>
  <c r="T11" i="5"/>
  <c r="T11" i="16"/>
  <c r="T6" i="26"/>
  <c r="T11" i="28"/>
  <c r="T4" i="28" s="1"/>
  <c r="T23" i="28"/>
  <c r="T21" i="28" s="1"/>
  <c r="T11" i="30"/>
  <c r="T6" i="6"/>
  <c r="T11" i="8"/>
  <c r="T11" i="9"/>
  <c r="T23" i="11"/>
  <c r="T21" i="11" s="1"/>
  <c r="T6" i="13"/>
  <c r="T6" i="15"/>
  <c r="T23" i="20"/>
  <c r="T21" i="20" s="1"/>
  <c r="T11" i="22"/>
  <c r="T6" i="27"/>
  <c r="T11" i="29"/>
  <c r="T11" i="12"/>
  <c r="T11" i="4"/>
  <c r="T23" i="6"/>
  <c r="T21" i="6" s="1"/>
  <c r="T6" i="8"/>
  <c r="T6" i="9"/>
  <c r="T4" i="9" s="1"/>
  <c r="T23" i="15"/>
  <c r="T21" i="15" s="1"/>
  <c r="T23" i="16"/>
  <c r="T21" i="16" s="1"/>
  <c r="T11" i="17"/>
  <c r="T6" i="22"/>
  <c r="T11" i="24"/>
  <c r="T11" i="25"/>
  <c r="T23" i="27"/>
  <c r="T21" i="27" s="1"/>
  <c r="T6" i="29"/>
  <c r="T6" i="12"/>
  <c r="T23" i="4"/>
  <c r="T21" i="4" s="1"/>
  <c r="T23" i="5"/>
  <c r="T21" i="5" s="1"/>
  <c r="T11" i="6"/>
  <c r="T6" i="11"/>
  <c r="T11" i="13"/>
  <c r="T11" i="15"/>
  <c r="T23" i="17"/>
  <c r="T21" i="17" s="1"/>
  <c r="T6" i="31"/>
  <c r="T6" i="20"/>
  <c r="T4" i="20" s="1"/>
  <c r="T23" i="21"/>
  <c r="T21" i="21" s="1"/>
  <c r="T23" i="25"/>
  <c r="T21" i="25" s="1"/>
  <c r="T11" i="27"/>
  <c r="T6" i="30"/>
  <c r="T4" i="8" l="1"/>
  <c r="U4" i="1"/>
  <c r="U44" i="1" s="1"/>
  <c r="U61" i="1"/>
  <c r="U46" i="1"/>
  <c r="U63" i="1"/>
  <c r="T4" i="25"/>
  <c r="T4" i="17"/>
  <c r="T4" i="5"/>
  <c r="T4" i="24"/>
  <c r="T6" i="1"/>
  <c r="T46" i="1" s="1"/>
  <c r="T11" i="1"/>
  <c r="T47" i="1"/>
  <c r="T52" i="1"/>
  <c r="T4" i="21"/>
  <c r="T4" i="26"/>
  <c r="T4" i="11"/>
  <c r="T4" i="30"/>
  <c r="T4" i="16"/>
  <c r="T23" i="1"/>
  <c r="T21" i="1" s="1"/>
  <c r="T4" i="31"/>
  <c r="T4" i="4"/>
  <c r="T4" i="22"/>
  <c r="T4" i="10"/>
  <c r="T4" i="12"/>
  <c r="T4" i="29"/>
  <c r="T4" i="15"/>
  <c r="T4" i="27"/>
  <c r="T4" i="13"/>
  <c r="T4" i="6"/>
  <c r="B2" i="1"/>
  <c r="D41" i="1"/>
  <c r="E41" i="1"/>
  <c r="F41" i="1"/>
  <c r="G41" i="1"/>
  <c r="H41" i="1"/>
  <c r="I41" i="1"/>
  <c r="J41" i="1"/>
  <c r="K41" i="1"/>
  <c r="L41" i="1"/>
  <c r="M41" i="1"/>
  <c r="N41" i="1"/>
  <c r="O41" i="1"/>
  <c r="P41" i="1"/>
  <c r="Q41" i="1"/>
  <c r="R41" i="1"/>
  <c r="S41" i="1"/>
  <c r="V41" i="1"/>
  <c r="B42" i="1" s="1"/>
  <c r="C41" i="1"/>
  <c r="T4" i="1" l="1"/>
  <c r="T44" i="1" s="1"/>
  <c r="T51" i="1"/>
  <c r="T63" i="1"/>
  <c r="T61" i="1"/>
  <c r="S23" i="12" l="1"/>
  <c r="S21" i="12" s="1"/>
  <c r="S6" i="12"/>
  <c r="S11" i="12"/>
  <c r="S4" i="12" l="1"/>
  <c r="S13" i="1" l="1"/>
  <c r="S11" i="29"/>
  <c r="S23" i="29"/>
  <c r="S21" i="29" s="1"/>
  <c r="S6" i="27"/>
  <c r="S6" i="29"/>
  <c r="P11" i="29"/>
  <c r="P23" i="29"/>
  <c r="P21" i="29" s="1"/>
  <c r="S11" i="27"/>
  <c r="S23" i="5"/>
  <c r="S21" i="5" s="1"/>
  <c r="S23" i="4"/>
  <c r="S21" i="4" s="1"/>
  <c r="Q11" i="29"/>
  <c r="Q23" i="29"/>
  <c r="Q21" i="29" s="1"/>
  <c r="S23" i="27"/>
  <c r="S21" i="27" s="1"/>
  <c r="P6" i="29"/>
  <c r="S11" i="26"/>
  <c r="S6" i="8"/>
  <c r="S23" i="9"/>
  <c r="S21" i="9" s="1"/>
  <c r="S11" i="11"/>
  <c r="S6" i="13"/>
  <c r="S23" i="15"/>
  <c r="S21" i="15" s="1"/>
  <c r="S11" i="17"/>
  <c r="S6" i="31"/>
  <c r="S23" i="20"/>
  <c r="S21" i="20" s="1"/>
  <c r="S11" i="22"/>
  <c r="S6" i="24"/>
  <c r="S23" i="25"/>
  <c r="S21" i="25" s="1"/>
  <c r="R6" i="29"/>
  <c r="R11" i="29"/>
  <c r="R23" i="29"/>
  <c r="R21" i="29" s="1"/>
  <c r="Q6" i="29"/>
  <c r="S6" i="5"/>
  <c r="S6" i="26"/>
  <c r="S23" i="8"/>
  <c r="S21" i="8" s="1"/>
  <c r="S6" i="11"/>
  <c r="S4" i="11" s="1"/>
  <c r="S23" i="13"/>
  <c r="S21" i="13" s="1"/>
  <c r="S6" i="17"/>
  <c r="S23" i="31"/>
  <c r="S21" i="31" s="1"/>
  <c r="S6" i="22"/>
  <c r="S23" i="24"/>
  <c r="S21" i="24" s="1"/>
  <c r="S11" i="10"/>
  <c r="S11" i="21"/>
  <c r="S23" i="26"/>
  <c r="S21" i="26" s="1"/>
  <c r="S6" i="10"/>
  <c r="S23" i="11"/>
  <c r="S21" i="11" s="1"/>
  <c r="S11" i="15"/>
  <c r="S6" i="16"/>
  <c r="S23" i="17"/>
  <c r="S21" i="17" s="1"/>
  <c r="S11" i="20"/>
  <c r="S6" i="21"/>
  <c r="S23" i="22"/>
  <c r="S21" i="22" s="1"/>
  <c r="S11" i="25"/>
  <c r="S11" i="16"/>
  <c r="S11" i="8"/>
  <c r="S23" i="10"/>
  <c r="S21" i="10" s="1"/>
  <c r="S11" i="13"/>
  <c r="S6" i="15"/>
  <c r="S23" i="16"/>
  <c r="S21" i="16" s="1"/>
  <c r="S11" i="31"/>
  <c r="S6" i="20"/>
  <c r="S23" i="21"/>
  <c r="S21" i="21" s="1"/>
  <c r="S11" i="24"/>
  <c r="S6" i="25"/>
  <c r="S11" i="4"/>
  <c r="S6" i="4"/>
  <c r="S11" i="5"/>
  <c r="S4" i="29" l="1"/>
  <c r="S4" i="27"/>
  <c r="S4" i="10"/>
  <c r="Q4" i="29"/>
  <c r="S4" i="13"/>
  <c r="S4" i="5"/>
  <c r="P4" i="29"/>
  <c r="S4" i="31"/>
  <c r="S4" i="4"/>
  <c r="R4" i="29"/>
  <c r="S4" i="16"/>
  <c r="S4" i="15"/>
  <c r="S4" i="8"/>
  <c r="S4" i="22"/>
  <c r="S4" i="25"/>
  <c r="S4" i="17"/>
  <c r="S4" i="24"/>
  <c r="S4" i="20"/>
  <c r="S4" i="26"/>
  <c r="S4" i="21"/>
  <c r="S11" i="30"/>
  <c r="S23" i="30" l="1"/>
  <c r="S21" i="30" s="1"/>
  <c r="S6" i="30"/>
  <c r="S4" i="30" s="1"/>
  <c r="S23" i="6" l="1"/>
  <c r="S21" i="6" s="1"/>
  <c r="S6" i="6"/>
  <c r="S11" i="6"/>
  <c r="S4" i="6" l="1"/>
  <c r="S34" i="1"/>
  <c r="S74" i="1" s="1"/>
  <c r="S32" i="1"/>
  <c r="S72" i="1" s="1"/>
  <c r="S30" i="1"/>
  <c r="S70" i="1" s="1"/>
  <c r="S28" i="1"/>
  <c r="S26" i="1"/>
  <c r="S66" i="1" s="1"/>
  <c r="S25" i="1"/>
  <c r="S24" i="1"/>
  <c r="S18" i="1"/>
  <c r="S58" i="1" s="1"/>
  <c r="S16" i="1"/>
  <c r="S56" i="1" s="1"/>
  <c r="S14" i="1"/>
  <c r="S53" i="1"/>
  <c r="S9" i="1"/>
  <c r="S8" i="1"/>
  <c r="S48" i="1" s="1"/>
  <c r="S23" i="28"/>
  <c r="S21" i="28" s="1"/>
  <c r="S11" i="28"/>
  <c r="S6" i="28"/>
  <c r="S23" i="18"/>
  <c r="S21" i="18" s="1"/>
  <c r="S11" i="18"/>
  <c r="S6" i="18"/>
  <c r="S23" i="14"/>
  <c r="S21" i="14" s="1"/>
  <c r="S11" i="14"/>
  <c r="S6" i="14"/>
  <c r="S23" i="7"/>
  <c r="S21" i="7" s="1"/>
  <c r="S11" i="7"/>
  <c r="S6" i="7"/>
  <c r="S4" i="7" l="1"/>
  <c r="S4" i="14"/>
  <c r="S4" i="18"/>
  <c r="S4" i="28"/>
  <c r="S49" i="1"/>
  <c r="S23" i="1"/>
  <c r="S65" i="1"/>
  <c r="S68" i="1"/>
  <c r="S54" i="1"/>
  <c r="S64" i="1"/>
  <c r="S63" i="1" l="1"/>
  <c r="S21" i="1"/>
  <c r="S61" i="1" s="1"/>
  <c r="R23" i="15"/>
  <c r="R21" i="15" s="1"/>
  <c r="R6" i="22"/>
  <c r="R11" i="16"/>
  <c r="R6" i="5"/>
  <c r="R23" i="10"/>
  <c r="R21" i="10" s="1"/>
  <c r="R6" i="27"/>
  <c r="R6" i="24"/>
  <c r="R6" i="31"/>
  <c r="R11" i="31"/>
  <c r="R23" i="31"/>
  <c r="R21" i="31" s="1"/>
  <c r="R23" i="11"/>
  <c r="R21" i="11" s="1"/>
  <c r="R11" i="6"/>
  <c r="R23" i="6"/>
  <c r="R21" i="6" s="1"/>
  <c r="R11" i="5"/>
  <c r="R23" i="5"/>
  <c r="R21" i="5" s="1"/>
  <c r="R6" i="4"/>
  <c r="R23" i="4"/>
  <c r="R21" i="4" s="1"/>
  <c r="R23" i="22"/>
  <c r="R21" i="22" s="1"/>
  <c r="R6" i="25"/>
  <c r="R11" i="20"/>
  <c r="R23" i="20"/>
  <c r="R21" i="20" s="1"/>
  <c r="R6" i="16"/>
  <c r="R23" i="8"/>
  <c r="R21" i="8" s="1"/>
  <c r="R11" i="4"/>
  <c r="R11" i="22"/>
  <c r="R11" i="26"/>
  <c r="R23" i="26"/>
  <c r="R21" i="26" s="1"/>
  <c r="R6" i="21"/>
  <c r="R6" i="13"/>
  <c r="R6" i="10"/>
  <c r="R11" i="10"/>
  <c r="R6" i="9"/>
  <c r="R11" i="9"/>
  <c r="R23" i="9"/>
  <c r="R21" i="9" s="1"/>
  <c r="R6" i="26"/>
  <c r="R6" i="6"/>
  <c r="R11" i="25"/>
  <c r="R23" i="25"/>
  <c r="R21" i="25" s="1"/>
  <c r="R6" i="17"/>
  <c r="R11" i="17"/>
  <c r="R23" i="17"/>
  <c r="R21" i="17" s="1"/>
  <c r="R6" i="15"/>
  <c r="R6" i="11"/>
  <c r="R6" i="20"/>
  <c r="R23" i="16"/>
  <c r="R21" i="16" s="1"/>
  <c r="R11" i="15"/>
  <c r="R11" i="13"/>
  <c r="R23" i="13"/>
  <c r="R21" i="13" s="1"/>
  <c r="R11" i="11"/>
  <c r="R11" i="27"/>
  <c r="R23" i="27"/>
  <c r="R21" i="27" s="1"/>
  <c r="R11" i="24"/>
  <c r="R23" i="24"/>
  <c r="R21" i="24" s="1"/>
  <c r="R11" i="21"/>
  <c r="R23" i="21"/>
  <c r="R21" i="21" s="1"/>
  <c r="R6" i="8"/>
  <c r="R11" i="8"/>
  <c r="R4" i="24" l="1"/>
  <c r="R4" i="9"/>
  <c r="R4" i="31"/>
  <c r="R4" i="5"/>
  <c r="R4" i="4"/>
  <c r="R4" i="21"/>
  <c r="R4" i="16"/>
  <c r="R4" i="22"/>
  <c r="R4" i="25"/>
  <c r="R4" i="6"/>
  <c r="R11" i="30"/>
  <c r="R4" i="27"/>
  <c r="R4" i="10"/>
  <c r="R4" i="20"/>
  <c r="R4" i="26"/>
  <c r="R4" i="13"/>
  <c r="R4" i="11"/>
  <c r="R4" i="17"/>
  <c r="R6" i="30"/>
  <c r="R4" i="8"/>
  <c r="R4" i="15"/>
  <c r="R23" i="30"/>
  <c r="R21" i="30" s="1"/>
  <c r="R34" i="1"/>
  <c r="R32" i="1"/>
  <c r="R30" i="1"/>
  <c r="R28" i="1"/>
  <c r="R26" i="1"/>
  <c r="R25" i="1"/>
  <c r="R24" i="1"/>
  <c r="R18" i="1"/>
  <c r="R16" i="1"/>
  <c r="R14" i="1"/>
  <c r="R13" i="1"/>
  <c r="R12" i="1"/>
  <c r="R9" i="1"/>
  <c r="R8" i="1"/>
  <c r="R7" i="1"/>
  <c r="R23" i="28"/>
  <c r="R21" i="28" s="1"/>
  <c r="R11" i="28"/>
  <c r="R6" i="28"/>
  <c r="R23" i="18"/>
  <c r="R21" i="18" s="1"/>
  <c r="R11" i="18"/>
  <c r="R6" i="18"/>
  <c r="R23" i="14"/>
  <c r="R21" i="14" s="1"/>
  <c r="R11" i="14"/>
  <c r="R6" i="14"/>
  <c r="R23" i="12"/>
  <c r="R21" i="12" s="1"/>
  <c r="R11" i="12"/>
  <c r="R6" i="12"/>
  <c r="R23" i="7"/>
  <c r="R21" i="7" s="1"/>
  <c r="R11" i="7"/>
  <c r="R6" i="7"/>
  <c r="R4" i="14" l="1"/>
  <c r="R4" i="7"/>
  <c r="R4" i="12"/>
  <c r="R4" i="18"/>
  <c r="R4" i="30"/>
  <c r="R68" i="1"/>
  <c r="R4" i="28"/>
  <c r="R48" i="1"/>
  <c r="R49" i="1"/>
  <c r="R56" i="1"/>
  <c r="R66" i="1"/>
  <c r="R74" i="1"/>
  <c r="R54" i="1"/>
  <c r="R47" i="1"/>
  <c r="R64" i="1"/>
  <c r="R70" i="1"/>
  <c r="R58" i="1"/>
  <c r="R72" i="1"/>
  <c r="R6" i="1"/>
  <c r="R11" i="1"/>
  <c r="R52" i="1"/>
  <c r="R65" i="1"/>
  <c r="R23" i="1"/>
  <c r="R53" i="1"/>
  <c r="R46" i="1" l="1"/>
  <c r="R4" i="1"/>
  <c r="R51" i="1"/>
  <c r="R63" i="1"/>
  <c r="R21" i="1"/>
  <c r="R44" i="1" l="1"/>
  <c r="R61" i="1"/>
  <c r="Q13" i="7" l="1"/>
  <c r="Q7" i="7"/>
  <c r="Q6" i="27" l="1"/>
  <c r="Q23" i="17"/>
  <c r="Q23" i="20"/>
  <c r="Q21" i="20" s="1"/>
  <c r="Q23" i="4"/>
  <c r="Q21" i="4" s="1"/>
  <c r="Q6" i="24"/>
  <c r="Q6" i="20"/>
  <c r="Q23" i="8"/>
  <c r="Q21" i="8" s="1"/>
  <c r="Q11" i="20"/>
  <c r="Q6" i="10"/>
  <c r="Q23" i="10"/>
  <c r="Q21" i="10" s="1"/>
  <c r="Q23" i="15"/>
  <c r="Q21" i="15" s="1"/>
  <c r="Q6" i="5"/>
  <c r="Q23" i="5"/>
  <c r="Q21" i="5" s="1"/>
  <c r="Q6" i="11"/>
  <c r="Q23" i="25"/>
  <c r="Q21" i="25" s="1"/>
  <c r="Q23" i="21"/>
  <c r="Q21" i="21" s="1"/>
  <c r="Q23" i="24"/>
  <c r="Q21" i="24" s="1"/>
  <c r="Q11" i="6"/>
  <c r="Q6" i="25"/>
  <c r="Q6" i="22"/>
  <c r="Q23" i="16"/>
  <c r="Q21" i="16" s="1"/>
  <c r="Q6" i="13"/>
  <c r="Q11" i="13"/>
  <c r="Q11" i="8"/>
  <c r="Q11" i="5"/>
  <c r="Q11" i="24"/>
  <c r="Q11" i="25"/>
  <c r="Q6" i="31"/>
  <c r="Q23" i="31"/>
  <c r="Q21" i="31" s="1"/>
  <c r="Q11" i="15"/>
  <c r="Q6" i="8"/>
  <c r="Q23" i="27"/>
  <c r="Q21" i="27" s="1"/>
  <c r="Q23" i="22"/>
  <c r="Q21" i="22" s="1"/>
  <c r="Q23" i="11"/>
  <c r="Q21" i="11" s="1"/>
  <c r="Q6" i="4"/>
  <c r="Q23" i="26"/>
  <c r="Q21" i="26" s="1"/>
  <c r="Q6" i="21"/>
  <c r="Q11" i="31"/>
  <c r="Q23" i="13"/>
  <c r="Q21" i="13" s="1"/>
  <c r="Q11" i="10"/>
  <c r="Q23" i="6"/>
  <c r="Q21" i="6" s="1"/>
  <c r="Q11" i="27"/>
  <c r="Q11" i="22"/>
  <c r="Q11" i="11"/>
  <c r="Q11" i="4"/>
  <c r="Q11" i="21"/>
  <c r="Q6" i="15"/>
  <c r="Q23" i="9"/>
  <c r="Q21" i="9" s="1"/>
  <c r="Q4" i="24" l="1"/>
  <c r="Q4" i="27"/>
  <c r="Q4" i="20"/>
  <c r="Q4" i="11"/>
  <c r="Q4" i="22"/>
  <c r="Q4" i="10"/>
  <c r="Q4" i="5"/>
  <c r="Q4" i="4"/>
  <c r="Q4" i="31"/>
  <c r="Q4" i="25"/>
  <c r="Q4" i="8"/>
  <c r="Q4" i="21"/>
  <c r="Q4" i="13"/>
  <c r="Q4" i="15"/>
  <c r="Q24" i="12"/>
  <c r="Q7" i="12"/>
  <c r="Q24" i="14" l="1"/>
  <c r="Q7" i="14"/>
  <c r="Q34" i="1" l="1"/>
  <c r="Q74" i="1" s="1"/>
  <c r="Q30" i="1"/>
  <c r="Q28" i="1"/>
  <c r="Q26" i="1"/>
  <c r="Q66" i="1" s="1"/>
  <c r="Q25" i="1"/>
  <c r="Q65" i="1" s="1"/>
  <c r="Q24" i="1"/>
  <c r="Q18" i="1"/>
  <c r="Q58" i="1" s="1"/>
  <c r="Q16" i="1"/>
  <c r="Q14" i="1"/>
  <c r="Q54" i="1" s="1"/>
  <c r="Q13" i="1"/>
  <c r="Q53" i="1" s="1"/>
  <c r="Q9" i="1"/>
  <c r="Q49" i="1" s="1"/>
  <c r="Q8" i="1"/>
  <c r="Q48" i="1" s="1"/>
  <c r="Q68" i="1" l="1"/>
  <c r="Q70" i="1"/>
  <c r="Q56" i="1"/>
  <c r="Q23" i="1"/>
  <c r="Q64" i="1"/>
  <c r="Q23" i="30"/>
  <c r="Q21" i="30" s="1"/>
  <c r="Q11" i="30"/>
  <c r="Q6" i="30"/>
  <c r="Q23" i="28"/>
  <c r="Q21" i="28" s="1"/>
  <c r="Q11" i="28"/>
  <c r="Q6" i="28"/>
  <c r="Q23" i="18"/>
  <c r="Q21" i="18" s="1"/>
  <c r="Q11" i="18"/>
  <c r="Q6" i="18"/>
  <c r="Q23" i="14"/>
  <c r="Q21" i="14" s="1"/>
  <c r="Q11" i="14"/>
  <c r="Q6" i="14"/>
  <c r="Q23" i="12"/>
  <c r="Q21" i="12" s="1"/>
  <c r="Q11" i="12"/>
  <c r="Q6" i="12"/>
  <c r="Q23" i="7"/>
  <c r="Q21" i="7" s="1"/>
  <c r="Q11" i="7"/>
  <c r="Q6" i="7"/>
  <c r="Q4" i="14" l="1"/>
  <c r="Q4" i="30"/>
  <c r="Q4" i="12"/>
  <c r="Q4" i="28"/>
  <c r="Q63" i="1"/>
  <c r="Q4" i="7"/>
  <c r="Q4" i="18"/>
  <c r="P24" i="7" l="1"/>
  <c r="P7" i="7"/>
  <c r="P23" i="8" l="1"/>
  <c r="P7" i="8"/>
  <c r="P21" i="8" l="1"/>
  <c r="P23" i="10"/>
  <c r="P21" i="10" s="1"/>
  <c r="P11" i="10"/>
  <c r="P6" i="10"/>
  <c r="P4" i="10" l="1"/>
  <c r="P23" i="12"/>
  <c r="P21" i="12" l="1"/>
  <c r="P23" i="14"/>
  <c r="P7" i="14"/>
  <c r="P21" i="14" l="1"/>
  <c r="P23" i="18"/>
  <c r="P21" i="18" l="1"/>
  <c r="P23" i="28"/>
  <c r="P21" i="28" s="1"/>
  <c r="P23" i="30" l="1"/>
  <c r="P11" i="30"/>
  <c r="P21" i="30" l="1"/>
  <c r="P23" i="4"/>
  <c r="P11" i="4"/>
  <c r="P21" i="4" l="1"/>
  <c r="P6" i="30" l="1"/>
  <c r="P4" i="30" s="1"/>
  <c r="O6" i="30"/>
  <c r="P11" i="28"/>
  <c r="P6" i="28"/>
  <c r="P23" i="27"/>
  <c r="P11" i="27"/>
  <c r="P6" i="27"/>
  <c r="P23" i="26"/>
  <c r="P23" i="25"/>
  <c r="P11" i="25"/>
  <c r="P6" i="25"/>
  <c r="P23" i="24"/>
  <c r="P11" i="24"/>
  <c r="P6" i="24"/>
  <c r="P23" i="22"/>
  <c r="P11" i="22"/>
  <c r="P6" i="22"/>
  <c r="P23" i="21"/>
  <c r="P11" i="21"/>
  <c r="P6" i="21"/>
  <c r="P23" i="20"/>
  <c r="P11" i="20"/>
  <c r="P23" i="31"/>
  <c r="P11" i="31"/>
  <c r="P6" i="31"/>
  <c r="P11" i="18"/>
  <c r="P6" i="18"/>
  <c r="P23" i="17"/>
  <c r="P23" i="16"/>
  <c r="P11" i="16"/>
  <c r="P6" i="16"/>
  <c r="P23" i="15"/>
  <c r="P11" i="15"/>
  <c r="P6" i="15"/>
  <c r="P11" i="14"/>
  <c r="P6" i="14"/>
  <c r="P23" i="13"/>
  <c r="P11" i="13"/>
  <c r="P6" i="13"/>
  <c r="P11" i="12"/>
  <c r="P6" i="12"/>
  <c r="P23" i="11"/>
  <c r="P11" i="11"/>
  <c r="P6" i="11"/>
  <c r="P23" i="9"/>
  <c r="P11" i="8"/>
  <c r="P6" i="8"/>
  <c r="P23" i="7"/>
  <c r="P11" i="7"/>
  <c r="P6" i="7"/>
  <c r="P23" i="6"/>
  <c r="P11" i="6"/>
  <c r="P6" i="6"/>
  <c r="P23" i="5"/>
  <c r="P11" i="5"/>
  <c r="P6" i="5"/>
  <c r="P6" i="4"/>
  <c r="P4" i="4" s="1"/>
  <c r="P34" i="1"/>
  <c r="P32" i="1"/>
  <c r="P72" i="1" s="1"/>
  <c r="P30" i="1"/>
  <c r="P70" i="1" s="1"/>
  <c r="P28" i="1"/>
  <c r="P68" i="1" s="1"/>
  <c r="P26" i="1"/>
  <c r="P66" i="1" s="1"/>
  <c r="P25" i="1"/>
  <c r="P24" i="1"/>
  <c r="P64" i="1" s="1"/>
  <c r="P18" i="1"/>
  <c r="P16" i="1"/>
  <c r="P56" i="1" s="1"/>
  <c r="P14" i="1"/>
  <c r="P54" i="1" s="1"/>
  <c r="P13" i="1"/>
  <c r="P53" i="1" s="1"/>
  <c r="P8" i="1"/>
  <c r="P48" i="1" s="1"/>
  <c r="O34" i="1"/>
  <c r="N34" i="1"/>
  <c r="O32" i="1"/>
  <c r="H32" i="1"/>
  <c r="G32" i="1"/>
  <c r="E32" i="1"/>
  <c r="D32" i="1"/>
  <c r="C32" i="1"/>
  <c r="V32" i="1" s="1"/>
  <c r="O30" i="1"/>
  <c r="H30" i="1"/>
  <c r="G30" i="1"/>
  <c r="E30" i="1"/>
  <c r="D30" i="1"/>
  <c r="C30" i="1"/>
  <c r="V30" i="1" s="1"/>
  <c r="O28" i="1"/>
  <c r="N28" i="1"/>
  <c r="M28" i="1"/>
  <c r="H28" i="1"/>
  <c r="G28" i="1"/>
  <c r="F28" i="1"/>
  <c r="E28" i="1"/>
  <c r="D28" i="1"/>
  <c r="C28" i="1"/>
  <c r="V28" i="1" s="1"/>
  <c r="O26" i="1"/>
  <c r="G26" i="1"/>
  <c r="F26" i="1"/>
  <c r="C26" i="1"/>
  <c r="V26" i="1" s="1"/>
  <c r="O25" i="1"/>
  <c r="E25" i="1"/>
  <c r="D25" i="1"/>
  <c r="C25" i="1"/>
  <c r="V25" i="1" s="1"/>
  <c r="O18" i="1"/>
  <c r="N18" i="1"/>
  <c r="M18" i="1"/>
  <c r="G18" i="1"/>
  <c r="D18" i="1"/>
  <c r="C18" i="1"/>
  <c r="V18" i="1" s="1"/>
  <c r="O16" i="1"/>
  <c r="N16" i="1"/>
  <c r="K16" i="1"/>
  <c r="G16" i="1"/>
  <c r="F16" i="1"/>
  <c r="E16" i="1"/>
  <c r="D16" i="1"/>
  <c r="C16" i="1"/>
  <c r="V16" i="1" s="1"/>
  <c r="O14" i="1"/>
  <c r="O13" i="1"/>
  <c r="H13" i="1"/>
  <c r="E13" i="1"/>
  <c r="D13" i="1"/>
  <c r="C13" i="1"/>
  <c r="V13" i="1" s="1"/>
  <c r="O12" i="1"/>
  <c r="G12" i="1"/>
  <c r="F12" i="1"/>
  <c r="D12" i="1"/>
  <c r="C12" i="1"/>
  <c r="V12" i="1" s="1"/>
  <c r="O9" i="1"/>
  <c r="C9" i="1"/>
  <c r="V9" i="1" s="1"/>
  <c r="O8" i="1"/>
  <c r="F8" i="1"/>
  <c r="E8" i="1"/>
  <c r="D8" i="1"/>
  <c r="M34" i="1"/>
  <c r="M32" i="1"/>
  <c r="M26" i="1"/>
  <c r="M16" i="1"/>
  <c r="L16" i="1"/>
  <c r="M9" i="1"/>
  <c r="P4" i="7" l="1"/>
  <c r="P21" i="24"/>
  <c r="P21" i="5"/>
  <c r="P21" i="15"/>
  <c r="P21" i="27"/>
  <c r="P21" i="7"/>
  <c r="P21" i="21"/>
  <c r="P21" i="6"/>
  <c r="P21" i="13"/>
  <c r="P21" i="22"/>
  <c r="P21" i="9"/>
  <c r="P21" i="16"/>
  <c r="P21" i="31"/>
  <c r="P21" i="11"/>
  <c r="P21" i="17"/>
  <c r="P21" i="20"/>
  <c r="P4" i="22"/>
  <c r="P21" i="25"/>
  <c r="P21" i="26"/>
  <c r="P58" i="1"/>
  <c r="P74" i="1"/>
  <c r="P4" i="16"/>
  <c r="P4" i="31"/>
  <c r="P4" i="11"/>
  <c r="P4" i="6"/>
  <c r="P4" i="21"/>
  <c r="P4" i="27"/>
  <c r="P4" i="5"/>
  <c r="P4" i="8"/>
  <c r="P4" i="12"/>
  <c r="P4" i="28"/>
  <c r="P4" i="18"/>
  <c r="P4" i="13"/>
  <c r="P4" i="14"/>
  <c r="P4" i="25"/>
  <c r="P4" i="24"/>
  <c r="P4" i="15"/>
  <c r="P23" i="1"/>
  <c r="P65" i="1"/>
  <c r="O23" i="24"/>
  <c r="O21" i="24" s="1"/>
  <c r="O11" i="24"/>
  <c r="O6" i="24"/>
  <c r="O4" i="24" l="1"/>
  <c r="P21" i="1"/>
  <c r="P61" i="1" s="1"/>
  <c r="P63" i="1"/>
  <c r="O68" i="1"/>
  <c r="O58" i="1"/>
  <c r="L23" i="5"/>
  <c r="L21" i="5" s="1"/>
  <c r="L11" i="5" l="1"/>
  <c r="N11" i="5"/>
  <c r="N23" i="5"/>
  <c r="O11" i="9"/>
  <c r="O6" i="9"/>
  <c r="O23" i="11"/>
  <c r="O11" i="11"/>
  <c r="O11" i="13"/>
  <c r="O23" i="13"/>
  <c r="O23" i="16"/>
  <c r="O23" i="17"/>
  <c r="O23" i="20"/>
  <c r="O23" i="25"/>
  <c r="O21" i="25" s="1"/>
  <c r="O21" i="20" l="1"/>
  <c r="O21" i="13"/>
  <c r="O21" i="11"/>
  <c r="O6" i="6"/>
  <c r="O23" i="22"/>
  <c r="O21" i="22" s="1"/>
  <c r="O6" i="17"/>
  <c r="O6" i="13"/>
  <c r="O4" i="13" s="1"/>
  <c r="O6" i="11"/>
  <c r="O4" i="11" s="1"/>
  <c r="O23" i="31"/>
  <c r="O21" i="31" s="1"/>
  <c r="O23" i="9"/>
  <c r="O21" i="9" s="1"/>
  <c r="O11" i="6"/>
  <c r="O23" i="6"/>
  <c r="O21" i="6" s="1"/>
  <c r="O53" i="1"/>
  <c r="N21" i="5"/>
  <c r="O66" i="1"/>
  <c r="O11" i="31"/>
  <c r="O48" i="1"/>
  <c r="O70" i="1"/>
  <c r="O6" i="31"/>
  <c r="O21" i="17"/>
  <c r="O11" i="17"/>
  <c r="O21" i="16"/>
  <c r="O11" i="16"/>
  <c r="O6" i="16"/>
  <c r="O52" i="1"/>
  <c r="O49" i="1"/>
  <c r="O56" i="1"/>
  <c r="O72" i="1"/>
  <c r="O6" i="20"/>
  <c r="O23" i="5"/>
  <c r="O21" i="5" s="1"/>
  <c r="O54" i="1"/>
  <c r="O11" i="20"/>
  <c r="O11" i="5"/>
  <c r="O6" i="5"/>
  <c r="O4" i="9"/>
  <c r="O11" i="22"/>
  <c r="O6" i="22"/>
  <c r="O11" i="25"/>
  <c r="O6" i="25"/>
  <c r="O24" i="8"/>
  <c r="O11" i="8"/>
  <c r="O7" i="8"/>
  <c r="O6" i="8" s="1"/>
  <c r="O24" i="7"/>
  <c r="O23" i="7" s="1"/>
  <c r="O21" i="7" s="1"/>
  <c r="O11" i="7"/>
  <c r="O7" i="7"/>
  <c r="O6" i="7" s="1"/>
  <c r="O23" i="15"/>
  <c r="O21" i="15" s="1"/>
  <c r="O11" i="15"/>
  <c r="O6" i="15"/>
  <c r="O24" i="26"/>
  <c r="O23" i="26" s="1"/>
  <c r="O21" i="26" s="1"/>
  <c r="O11" i="26"/>
  <c r="O7" i="26"/>
  <c r="O6" i="26" s="1"/>
  <c r="O23" i="28"/>
  <c r="O21" i="28" s="1"/>
  <c r="O11" i="28"/>
  <c r="O6" i="28"/>
  <c r="O24" i="29"/>
  <c r="O23" i="29" s="1"/>
  <c r="O21" i="29" s="1"/>
  <c r="O11" i="29"/>
  <c r="O7" i="29"/>
  <c r="O6" i="29" s="1"/>
  <c r="O23" i="21"/>
  <c r="O21" i="21" s="1"/>
  <c r="O11" i="21"/>
  <c r="O6" i="21"/>
  <c r="O23" i="4"/>
  <c r="O21" i="4" s="1"/>
  <c r="O11" i="4"/>
  <c r="O6" i="4"/>
  <c r="O23" i="14"/>
  <c r="O21" i="14" s="1"/>
  <c r="O11" i="14"/>
  <c r="O7" i="14"/>
  <c r="O23" i="12"/>
  <c r="O21" i="12" s="1"/>
  <c r="O11" i="12"/>
  <c r="O6" i="12"/>
  <c r="O23" i="10"/>
  <c r="O21" i="10" s="1"/>
  <c r="O11" i="10"/>
  <c r="O6" i="10"/>
  <c r="O23" i="30"/>
  <c r="O21" i="30" s="1"/>
  <c r="O11" i="30"/>
  <c r="O4" i="30" s="1"/>
  <c r="O23" i="18"/>
  <c r="O21" i="18" s="1"/>
  <c r="O11" i="18"/>
  <c r="O6" i="18"/>
  <c r="O23" i="27"/>
  <c r="O21" i="27" s="1"/>
  <c r="O11" i="27"/>
  <c r="O6" i="27"/>
  <c r="N30" i="17"/>
  <c r="N25" i="17"/>
  <c r="N24" i="17"/>
  <c r="N12" i="17"/>
  <c r="N14" i="17"/>
  <c r="N13" i="17"/>
  <c r="N8" i="17"/>
  <c r="N6" i="17" s="1"/>
  <c r="N32" i="22"/>
  <c r="N32" i="1" s="1"/>
  <c r="N72" i="1" s="1"/>
  <c r="N30" i="22"/>
  <c r="N26" i="22"/>
  <c r="N26" i="1" s="1"/>
  <c r="N66" i="1" s="1"/>
  <c r="N25" i="22"/>
  <c r="N24" i="22"/>
  <c r="N14" i="22"/>
  <c r="N14" i="1" s="1"/>
  <c r="N54" i="1" s="1"/>
  <c r="N13" i="22"/>
  <c r="N8" i="22"/>
  <c r="N9" i="22"/>
  <c r="N12" i="22"/>
  <c r="N25" i="25"/>
  <c r="N30" i="25"/>
  <c r="N24" i="25"/>
  <c r="N13" i="25"/>
  <c r="N12" i="25"/>
  <c r="N8" i="25"/>
  <c r="N6" i="25"/>
  <c r="N30" i="27"/>
  <c r="N24" i="27"/>
  <c r="N23" i="27" s="1"/>
  <c r="N21" i="27" s="1"/>
  <c r="N13" i="27"/>
  <c r="N8" i="27"/>
  <c r="N74" i="1"/>
  <c r="N68" i="1"/>
  <c r="N58" i="1"/>
  <c r="N56" i="1"/>
  <c r="N6" i="5"/>
  <c r="N4" i="5" s="1"/>
  <c r="N6" i="4"/>
  <c r="N11" i="4"/>
  <c r="N6" i="29"/>
  <c r="N11" i="29"/>
  <c r="N6" i="28"/>
  <c r="N11" i="28"/>
  <c r="N6" i="26"/>
  <c r="N4" i="26" s="1"/>
  <c r="N11" i="26"/>
  <c r="N11" i="25"/>
  <c r="N6" i="24"/>
  <c r="N11" i="24"/>
  <c r="N6" i="21"/>
  <c r="N11" i="21"/>
  <c r="N6" i="20"/>
  <c r="N11" i="20"/>
  <c r="N6" i="31"/>
  <c r="N11" i="31"/>
  <c r="N6" i="18"/>
  <c r="N11" i="18"/>
  <c r="N6" i="16"/>
  <c r="N11" i="16"/>
  <c r="N6" i="15"/>
  <c r="N11" i="15"/>
  <c r="N6" i="14"/>
  <c r="N11" i="14"/>
  <c r="N6" i="13"/>
  <c r="N11" i="13"/>
  <c r="N6" i="12"/>
  <c r="N11" i="12"/>
  <c r="N6" i="11"/>
  <c r="N11" i="11"/>
  <c r="N6" i="10"/>
  <c r="N11" i="10"/>
  <c r="N6" i="9"/>
  <c r="N11" i="9"/>
  <c r="N11" i="8"/>
  <c r="N6" i="8"/>
  <c r="N6" i="7"/>
  <c r="N11" i="7"/>
  <c r="N6" i="6"/>
  <c r="N11" i="6"/>
  <c r="N6" i="30"/>
  <c r="N11" i="30"/>
  <c r="M6" i="8"/>
  <c r="M11" i="8"/>
  <c r="N23" i="4"/>
  <c r="N21" i="4" s="1"/>
  <c r="N23" i="29"/>
  <c r="N21" i="29" s="1"/>
  <c r="N23" i="28"/>
  <c r="N21" i="28" s="1"/>
  <c r="N23" i="26"/>
  <c r="N21" i="26" s="1"/>
  <c r="N23" i="24"/>
  <c r="N21" i="24" s="1"/>
  <c r="N23" i="21"/>
  <c r="N21" i="21" s="1"/>
  <c r="N23" i="20"/>
  <c r="N21" i="20" s="1"/>
  <c r="N23" i="31"/>
  <c r="N21" i="31" s="1"/>
  <c r="N23" i="18"/>
  <c r="N21" i="18" s="1"/>
  <c r="N23" i="16"/>
  <c r="N21" i="16" s="1"/>
  <c r="N23" i="15"/>
  <c r="N21" i="15" s="1"/>
  <c r="N23" i="14"/>
  <c r="N21" i="14" s="1"/>
  <c r="N23" i="13"/>
  <c r="N21" i="13" s="1"/>
  <c r="N23" i="12"/>
  <c r="N21" i="12" s="1"/>
  <c r="N23" i="11"/>
  <c r="N21" i="11" s="1"/>
  <c r="N23" i="10"/>
  <c r="N21" i="10" s="1"/>
  <c r="N23" i="9"/>
  <c r="N21" i="9" s="1"/>
  <c r="N23" i="8"/>
  <c r="N21" i="8" s="1"/>
  <c r="N23" i="7"/>
  <c r="N21" i="7" s="1"/>
  <c r="N23" i="6"/>
  <c r="N21" i="6" s="1"/>
  <c r="N23" i="30"/>
  <c r="N21" i="30" s="1"/>
  <c r="M66" i="1"/>
  <c r="M72" i="1"/>
  <c r="M56" i="1"/>
  <c r="L56" i="1"/>
  <c r="C52" i="1"/>
  <c r="V52" i="1" s="1"/>
  <c r="C65" i="1"/>
  <c r="V65" i="1" s="1"/>
  <c r="C66" i="1"/>
  <c r="V66" i="1" s="1"/>
  <c r="M74" i="1"/>
  <c r="M68" i="1"/>
  <c r="C68" i="1"/>
  <c r="V68" i="1" s="1"/>
  <c r="M58" i="1"/>
  <c r="C53" i="1"/>
  <c r="V53" i="1" s="1"/>
  <c r="M49" i="1"/>
  <c r="M23" i="5"/>
  <c r="M21" i="5" s="1"/>
  <c r="M11" i="5"/>
  <c r="M6" i="5"/>
  <c r="M23" i="6"/>
  <c r="M21" i="6" s="1"/>
  <c r="M11" i="6"/>
  <c r="M6" i="6"/>
  <c r="M23" i="7"/>
  <c r="M21" i="7" s="1"/>
  <c r="M11" i="7"/>
  <c r="M6" i="7"/>
  <c r="M23" i="8"/>
  <c r="M21" i="8" s="1"/>
  <c r="M23" i="9"/>
  <c r="M21" i="9" s="1"/>
  <c r="M11" i="9"/>
  <c r="M6" i="9"/>
  <c r="M23" i="10"/>
  <c r="M21" i="10" s="1"/>
  <c r="M11" i="10"/>
  <c r="M6" i="10"/>
  <c r="M23" i="11"/>
  <c r="M21" i="11" s="1"/>
  <c r="M11" i="11"/>
  <c r="M6" i="11"/>
  <c r="M23" i="12"/>
  <c r="M21" i="12" s="1"/>
  <c r="M11" i="12"/>
  <c r="M6" i="12"/>
  <c r="M23" i="13"/>
  <c r="M21" i="13" s="1"/>
  <c r="M11" i="13"/>
  <c r="M6" i="13"/>
  <c r="M23" i="14"/>
  <c r="M21" i="14" s="1"/>
  <c r="M11" i="14"/>
  <c r="M6" i="14"/>
  <c r="M23" i="15"/>
  <c r="M21" i="15" s="1"/>
  <c r="M11" i="15"/>
  <c r="M6" i="15"/>
  <c r="M25" i="17"/>
  <c r="M24" i="17"/>
  <c r="M7" i="17"/>
  <c r="M12" i="17"/>
  <c r="M12" i="1" s="1"/>
  <c r="M52" i="1" s="1"/>
  <c r="M23" i="16"/>
  <c r="M21" i="16" s="1"/>
  <c r="M11" i="16"/>
  <c r="M6" i="16"/>
  <c r="M8" i="17"/>
  <c r="M30" i="17"/>
  <c r="M14" i="17"/>
  <c r="M14" i="1" s="1"/>
  <c r="M54" i="1" s="1"/>
  <c r="M13" i="17"/>
  <c r="M23" i="18"/>
  <c r="M21" i="18" s="1"/>
  <c r="M11" i="18"/>
  <c r="M6" i="18"/>
  <c r="M23" i="31"/>
  <c r="M21" i="31" s="1"/>
  <c r="M11" i="31"/>
  <c r="M6" i="31"/>
  <c r="M23" i="20"/>
  <c r="M21" i="20" s="1"/>
  <c r="M11" i="20"/>
  <c r="M6" i="20"/>
  <c r="M23" i="21"/>
  <c r="M21" i="21" s="1"/>
  <c r="M11" i="21"/>
  <c r="M6" i="21"/>
  <c r="M23" i="22"/>
  <c r="M21" i="22" s="1"/>
  <c r="M11" i="22"/>
  <c r="M6" i="22"/>
  <c r="M23" i="24"/>
  <c r="M21" i="24" s="1"/>
  <c r="M11" i="24"/>
  <c r="M6" i="24"/>
  <c r="M24" i="25"/>
  <c r="M23" i="25" s="1"/>
  <c r="M21" i="25" s="1"/>
  <c r="M8" i="25"/>
  <c r="M7" i="25"/>
  <c r="L7" i="25"/>
  <c r="L8" i="25"/>
  <c r="M11" i="25"/>
  <c r="M23" i="26"/>
  <c r="M21" i="26" s="1"/>
  <c r="M11" i="26"/>
  <c r="M6" i="26"/>
  <c r="M30" i="27"/>
  <c r="M25" i="27"/>
  <c r="M24" i="27"/>
  <c r="M13" i="27"/>
  <c r="M8" i="27"/>
  <c r="M7" i="27"/>
  <c r="M23" i="28"/>
  <c r="M21" i="28" s="1"/>
  <c r="M11" i="28"/>
  <c r="M6" i="28"/>
  <c r="M23" i="4"/>
  <c r="M21" i="4" s="1"/>
  <c r="M11" i="4"/>
  <c r="M6" i="4"/>
  <c r="M23" i="29"/>
  <c r="M21" i="29" s="1"/>
  <c r="M11" i="29"/>
  <c r="M6" i="29"/>
  <c r="M23" i="30"/>
  <c r="M21" i="30" s="1"/>
  <c r="M11" i="30"/>
  <c r="M6" i="30"/>
  <c r="J7" i="31"/>
  <c r="J6" i="31" s="1"/>
  <c r="C7" i="31"/>
  <c r="C6" i="31" s="1"/>
  <c r="D7" i="31"/>
  <c r="D6" i="31" s="1"/>
  <c r="E7" i="31"/>
  <c r="E6" i="31" s="1"/>
  <c r="F7" i="31"/>
  <c r="F6" i="31" s="1"/>
  <c r="G7" i="31"/>
  <c r="G6" i="31" s="1"/>
  <c r="H7" i="31"/>
  <c r="H6" i="31" s="1"/>
  <c r="I7" i="31"/>
  <c r="I6" i="31" s="1"/>
  <c r="K7" i="31"/>
  <c r="K6" i="31" s="1"/>
  <c r="L7" i="31"/>
  <c r="L6" i="31" s="1"/>
  <c r="C11" i="31"/>
  <c r="E11" i="31"/>
  <c r="F11" i="31"/>
  <c r="G11" i="31"/>
  <c r="H11" i="31"/>
  <c r="I11" i="31"/>
  <c r="J11" i="31"/>
  <c r="K11" i="31"/>
  <c r="L11" i="31"/>
  <c r="D14" i="31"/>
  <c r="C23" i="31"/>
  <c r="C21" i="31" s="1"/>
  <c r="I23" i="31"/>
  <c r="I21" i="31" s="1"/>
  <c r="J23" i="31"/>
  <c r="J21" i="31" s="1"/>
  <c r="K23" i="31"/>
  <c r="K21" i="31" s="1"/>
  <c r="L23" i="31"/>
  <c r="L21" i="31" s="1"/>
  <c r="D24" i="31"/>
  <c r="E24" i="31"/>
  <c r="F25" i="31"/>
  <c r="F23" i="31" s="1"/>
  <c r="F21" i="31" s="1"/>
  <c r="G25" i="31"/>
  <c r="G23" i="31" s="1"/>
  <c r="G21" i="31" s="1"/>
  <c r="H25" i="31"/>
  <c r="H25" i="1" s="1"/>
  <c r="H65" i="1" s="1"/>
  <c r="D26" i="31"/>
  <c r="D26" i="1" s="1"/>
  <c r="D66" i="1" s="1"/>
  <c r="E26" i="31"/>
  <c r="E26" i="1" s="1"/>
  <c r="E66" i="1" s="1"/>
  <c r="L23" i="24"/>
  <c r="L21" i="24" s="1"/>
  <c r="L11" i="24"/>
  <c r="L6" i="24"/>
  <c r="L23" i="10"/>
  <c r="L21" i="10" s="1"/>
  <c r="L11" i="10"/>
  <c r="L6" i="10"/>
  <c r="L24" i="9"/>
  <c r="L23" i="9" s="1"/>
  <c r="L21" i="9" s="1"/>
  <c r="L14" i="9"/>
  <c r="L13" i="9"/>
  <c r="L12" i="9"/>
  <c r="L9" i="9"/>
  <c r="L8" i="9"/>
  <c r="L7" i="9"/>
  <c r="L23" i="30"/>
  <c r="L21" i="30" s="1"/>
  <c r="L11" i="30"/>
  <c r="L6" i="30"/>
  <c r="L30" i="22"/>
  <c r="L24" i="22"/>
  <c r="L23" i="22" s="1"/>
  <c r="L14" i="22"/>
  <c r="L13" i="22"/>
  <c r="L12" i="22"/>
  <c r="L8" i="22"/>
  <c r="L7" i="22"/>
  <c r="L23" i="29"/>
  <c r="L21" i="29" s="1"/>
  <c r="L11" i="29"/>
  <c r="L6" i="29"/>
  <c r="L24" i="7"/>
  <c r="L23" i="7" s="1"/>
  <c r="L21" i="7" s="1"/>
  <c r="L7" i="7"/>
  <c r="L6" i="7" s="1"/>
  <c r="L11" i="7"/>
  <c r="L26" i="27"/>
  <c r="L25" i="27"/>
  <c r="L24" i="27"/>
  <c r="L11" i="27"/>
  <c r="L7" i="27"/>
  <c r="L6" i="27" s="1"/>
  <c r="L23" i="12"/>
  <c r="L21" i="12" s="1"/>
  <c r="L11" i="12"/>
  <c r="L6" i="12"/>
  <c r="L23" i="28"/>
  <c r="L21" i="28" s="1"/>
  <c r="L11" i="28"/>
  <c r="L6" i="28"/>
  <c r="L23" i="8"/>
  <c r="L21" i="8" s="1"/>
  <c r="L11" i="8"/>
  <c r="L6" i="8"/>
  <c r="L34" i="4"/>
  <c r="L34" i="1" s="1"/>
  <c r="L74" i="1" s="1"/>
  <c r="L24" i="4"/>
  <c r="L23" i="4" s="1"/>
  <c r="L11" i="4"/>
  <c r="L7" i="4"/>
  <c r="L6" i="4" s="1"/>
  <c r="L4" i="4" s="1"/>
  <c r="L23" i="20"/>
  <c r="L21" i="20" s="1"/>
  <c r="L11" i="20"/>
  <c r="L6" i="20"/>
  <c r="L24" i="26"/>
  <c r="L23" i="26" s="1"/>
  <c r="L21" i="26" s="1"/>
  <c r="L13" i="26"/>
  <c r="L12" i="26"/>
  <c r="L8" i="26"/>
  <c r="L7" i="26"/>
  <c r="L6" i="5"/>
  <c r="L4" i="5" s="1"/>
  <c r="L23" i="25"/>
  <c r="L21" i="25" s="1"/>
  <c r="L11" i="25"/>
  <c r="L23" i="21"/>
  <c r="L21" i="21" s="1"/>
  <c r="L11" i="21"/>
  <c r="L6" i="21"/>
  <c r="L24" i="17"/>
  <c r="L23" i="17" s="1"/>
  <c r="L21" i="17" s="1"/>
  <c r="L11" i="17"/>
  <c r="L6" i="17"/>
  <c r="L24" i="16"/>
  <c r="L23" i="16" s="1"/>
  <c r="L21" i="16" s="1"/>
  <c r="L11" i="16"/>
  <c r="L7" i="16"/>
  <c r="L6" i="16" s="1"/>
  <c r="L23" i="15"/>
  <c r="L21" i="15" s="1"/>
  <c r="L11" i="15"/>
  <c r="L6" i="15"/>
  <c r="L23" i="14"/>
  <c r="L21" i="14" s="1"/>
  <c r="L11" i="14"/>
  <c r="L7" i="14"/>
  <c r="L6" i="14" s="1"/>
  <c r="L23" i="13"/>
  <c r="L21" i="13" s="1"/>
  <c r="L11" i="13"/>
  <c r="L6" i="13"/>
  <c r="L32" i="18"/>
  <c r="L32" i="1" s="1"/>
  <c r="L72" i="1" s="1"/>
  <c r="L30" i="18"/>
  <c r="L28" i="18"/>
  <c r="L28" i="1" s="1"/>
  <c r="L68" i="1" s="1"/>
  <c r="L26" i="18"/>
  <c r="L25" i="18"/>
  <c r="L24" i="18"/>
  <c r="L18" i="18"/>
  <c r="L18" i="1" s="1"/>
  <c r="L58" i="1" s="1"/>
  <c r="L14" i="18"/>
  <c r="L13" i="18"/>
  <c r="L12" i="18"/>
  <c r="L9" i="18"/>
  <c r="L8" i="18"/>
  <c r="L7" i="18"/>
  <c r="L23" i="11"/>
  <c r="L21" i="11" s="1"/>
  <c r="L11" i="11"/>
  <c r="L6" i="11"/>
  <c r="L23" i="6"/>
  <c r="L21" i="6" s="1"/>
  <c r="L11" i="6"/>
  <c r="L6" i="6"/>
  <c r="K23" i="17"/>
  <c r="K21" i="17" s="1"/>
  <c r="K34" i="4"/>
  <c r="K23" i="22"/>
  <c r="K21" i="22" s="1"/>
  <c r="K11" i="22"/>
  <c r="K6" i="22"/>
  <c r="K11" i="17"/>
  <c r="K4" i="17" s="1"/>
  <c r="K6" i="17"/>
  <c r="K23" i="11"/>
  <c r="K21" i="11" s="1"/>
  <c r="K11" i="7"/>
  <c r="K6" i="7"/>
  <c r="J11" i="7"/>
  <c r="K23" i="7"/>
  <c r="K21" i="7" s="1"/>
  <c r="K7" i="14"/>
  <c r="K6" i="14" s="1"/>
  <c r="K9" i="26"/>
  <c r="K9" i="1" s="1"/>
  <c r="K49" i="1" s="1"/>
  <c r="K34" i="26"/>
  <c r="K32" i="26"/>
  <c r="K30" i="26"/>
  <c r="K30" i="1" s="1"/>
  <c r="K70" i="1" s="1"/>
  <c r="K28" i="26"/>
  <c r="K28" i="1" s="1"/>
  <c r="K68" i="1" s="1"/>
  <c r="K26" i="26"/>
  <c r="K26" i="1" s="1"/>
  <c r="K66" i="1" s="1"/>
  <c r="K25" i="26"/>
  <c r="K25" i="1" s="1"/>
  <c r="K65" i="1" s="1"/>
  <c r="K24" i="26"/>
  <c r="K13" i="26"/>
  <c r="K13" i="1" s="1"/>
  <c r="K53" i="1" s="1"/>
  <c r="K12" i="26"/>
  <c r="K12" i="1" s="1"/>
  <c r="K52" i="1" s="1"/>
  <c r="K8" i="26"/>
  <c r="K7" i="26"/>
  <c r="K24" i="27"/>
  <c r="K23" i="27" s="1"/>
  <c r="K21" i="27" s="1"/>
  <c r="K7" i="27"/>
  <c r="K6" i="27" s="1"/>
  <c r="K7" i="28"/>
  <c r="K6" i="28" s="1"/>
  <c r="K24" i="28"/>
  <c r="K23" i="28" s="1"/>
  <c r="K21" i="28" s="1"/>
  <c r="K14" i="28"/>
  <c r="K24" i="4"/>
  <c r="K23" i="4" s="1"/>
  <c r="K7" i="4"/>
  <c r="K6" i="4" s="1"/>
  <c r="K34" i="5"/>
  <c r="K24" i="5"/>
  <c r="K23" i="5" s="1"/>
  <c r="K14" i="5"/>
  <c r="K11" i="5" s="1"/>
  <c r="K8" i="5"/>
  <c r="K7" i="5"/>
  <c r="K23" i="6"/>
  <c r="K21" i="6" s="1"/>
  <c r="K11" i="6"/>
  <c r="K6" i="6"/>
  <c r="K23" i="8"/>
  <c r="K21" i="8" s="1"/>
  <c r="K11" i="8"/>
  <c r="K6" i="8"/>
  <c r="K23" i="9"/>
  <c r="K21" i="9" s="1"/>
  <c r="K14" i="9"/>
  <c r="K11" i="9" s="1"/>
  <c r="K7" i="9"/>
  <c r="K6" i="9" s="1"/>
  <c r="K23" i="10"/>
  <c r="K21" i="10" s="1"/>
  <c r="K11" i="10"/>
  <c r="K6" i="10"/>
  <c r="K14" i="11"/>
  <c r="K11" i="11" s="1"/>
  <c r="K6" i="11"/>
  <c r="K23" i="12"/>
  <c r="K21" i="12" s="1"/>
  <c r="K11" i="12"/>
  <c r="K6" i="12"/>
  <c r="K23" i="13"/>
  <c r="K21" i="13" s="1"/>
  <c r="K11" i="13"/>
  <c r="K6" i="13"/>
  <c r="K23" i="14"/>
  <c r="K21" i="14" s="1"/>
  <c r="K11" i="14"/>
  <c r="K23" i="15"/>
  <c r="K21" i="15" s="1"/>
  <c r="K11" i="15"/>
  <c r="K6" i="15"/>
  <c r="K24" i="16"/>
  <c r="K23" i="16" s="1"/>
  <c r="K21" i="16" s="1"/>
  <c r="K11" i="16"/>
  <c r="K7" i="16"/>
  <c r="K6" i="16" s="1"/>
  <c r="K32" i="18"/>
  <c r="K24" i="18"/>
  <c r="K23" i="18" s="1"/>
  <c r="K18" i="18"/>
  <c r="K18" i="1" s="1"/>
  <c r="K58" i="1" s="1"/>
  <c r="K11" i="18"/>
  <c r="K6" i="18"/>
  <c r="K23" i="20"/>
  <c r="K21" i="20" s="1"/>
  <c r="K11" i="20"/>
  <c r="K6" i="20"/>
  <c r="K23" i="21"/>
  <c r="K21" i="21" s="1"/>
  <c r="K11" i="21"/>
  <c r="K6" i="21"/>
  <c r="K23" i="24"/>
  <c r="K21" i="24" s="1"/>
  <c r="K11" i="24"/>
  <c r="K6" i="24"/>
  <c r="K23" i="25"/>
  <c r="K21" i="25" s="1"/>
  <c r="K11" i="25"/>
  <c r="K6" i="25"/>
  <c r="K11" i="27"/>
  <c r="K11" i="4"/>
  <c r="K23" i="29"/>
  <c r="K21" i="29" s="1"/>
  <c r="K11" i="29"/>
  <c r="K6" i="29"/>
  <c r="K23" i="30"/>
  <c r="K21" i="30" s="1"/>
  <c r="K11" i="30"/>
  <c r="K6" i="30"/>
  <c r="K56" i="1"/>
  <c r="J7" i="4"/>
  <c r="J6" i="4" s="1"/>
  <c r="J24" i="4"/>
  <c r="J23" i="4" s="1"/>
  <c r="J21" i="4" s="1"/>
  <c r="J11" i="4"/>
  <c r="H18" i="18"/>
  <c r="H26" i="18"/>
  <c r="J32" i="18"/>
  <c r="J30" i="18"/>
  <c r="J28" i="18"/>
  <c r="J26" i="18"/>
  <c r="J25" i="18"/>
  <c r="J24" i="18"/>
  <c r="J18" i="18"/>
  <c r="J18" i="1" s="1"/>
  <c r="J58" i="1" s="1"/>
  <c r="J14" i="18"/>
  <c r="J13" i="18"/>
  <c r="J12" i="18"/>
  <c r="J9" i="18"/>
  <c r="J8" i="18"/>
  <c r="J7" i="18"/>
  <c r="J34" i="11"/>
  <c r="J7" i="27"/>
  <c r="J6" i="27" s="1"/>
  <c r="J24" i="27"/>
  <c r="J23" i="27" s="1"/>
  <c r="J21" i="27" s="1"/>
  <c r="J24" i="28"/>
  <c r="J11" i="28"/>
  <c r="J7" i="28"/>
  <c r="J24" i="29"/>
  <c r="J23" i="29" s="1"/>
  <c r="J21" i="29" s="1"/>
  <c r="J11" i="29"/>
  <c r="J7" i="29"/>
  <c r="J6" i="29" s="1"/>
  <c r="J23" i="12"/>
  <c r="J21" i="12" s="1"/>
  <c r="J11" i="12"/>
  <c r="J6" i="12"/>
  <c r="J32" i="30"/>
  <c r="J23" i="30"/>
  <c r="J11" i="30"/>
  <c r="J7" i="30"/>
  <c r="J6" i="30" s="1"/>
  <c r="J24" i="24"/>
  <c r="J23" i="24" s="1"/>
  <c r="J21" i="24" s="1"/>
  <c r="J14" i="24"/>
  <c r="J11" i="24" s="1"/>
  <c r="J7" i="24"/>
  <c r="J6" i="24" s="1"/>
  <c r="J23" i="25"/>
  <c r="J21" i="25" s="1"/>
  <c r="J11" i="25"/>
  <c r="J6" i="25"/>
  <c r="J26" i="11"/>
  <c r="J24" i="11"/>
  <c r="J14" i="11"/>
  <c r="J11" i="11" s="1"/>
  <c r="J7" i="11"/>
  <c r="J6" i="11" s="1"/>
  <c r="J24" i="9"/>
  <c r="J23" i="9" s="1"/>
  <c r="J21" i="9" s="1"/>
  <c r="J11" i="9"/>
  <c r="J7" i="9"/>
  <c r="J6" i="9" s="1"/>
  <c r="J23" i="21"/>
  <c r="J21" i="21" s="1"/>
  <c r="J11" i="21"/>
  <c r="J6" i="21"/>
  <c r="J34" i="17"/>
  <c r="J24" i="17"/>
  <c r="J23" i="17" s="1"/>
  <c r="J11" i="17"/>
  <c r="J7" i="17"/>
  <c r="J6" i="17" s="1"/>
  <c r="J11" i="27"/>
  <c r="J25" i="6"/>
  <c r="J24" i="6"/>
  <c r="J11" i="6"/>
  <c r="J7" i="6"/>
  <c r="J6" i="6" s="1"/>
  <c r="J23" i="8"/>
  <c r="J21" i="8" s="1"/>
  <c r="J11" i="8"/>
  <c r="J6" i="8"/>
  <c r="J23" i="13"/>
  <c r="J21" i="13" s="1"/>
  <c r="J11" i="13"/>
  <c r="J6" i="13"/>
  <c r="J24" i="7"/>
  <c r="J23" i="7" s="1"/>
  <c r="J7" i="7"/>
  <c r="J6" i="7" s="1"/>
  <c r="J23" i="10"/>
  <c r="J21" i="10" s="1"/>
  <c r="J11" i="10"/>
  <c r="J6" i="10"/>
  <c r="J24" i="16"/>
  <c r="J23" i="16" s="1"/>
  <c r="J21" i="16" s="1"/>
  <c r="J11" i="16"/>
  <c r="J7" i="16"/>
  <c r="J6" i="16" s="1"/>
  <c r="J23" i="20"/>
  <c r="J21" i="20" s="1"/>
  <c r="J11" i="20"/>
  <c r="J6" i="20"/>
  <c r="J34" i="26"/>
  <c r="J32" i="26"/>
  <c r="J30" i="26"/>
  <c r="J28" i="26"/>
  <c r="J26" i="26"/>
  <c r="J25" i="26"/>
  <c r="J24" i="26"/>
  <c r="J21" i="26"/>
  <c r="J16" i="26"/>
  <c r="J16" i="1" s="1"/>
  <c r="J56" i="1" s="1"/>
  <c r="J13" i="26"/>
  <c r="J12" i="26"/>
  <c r="J11" i="26"/>
  <c r="J9" i="26"/>
  <c r="J8" i="26"/>
  <c r="J7" i="26"/>
  <c r="J6" i="26"/>
  <c r="J4" i="26"/>
  <c r="J23" i="22"/>
  <c r="J21" i="22" s="1"/>
  <c r="J11" i="22"/>
  <c r="J6" i="22"/>
  <c r="J23" i="15"/>
  <c r="J21" i="15" s="1"/>
  <c r="J11" i="15"/>
  <c r="J6" i="15"/>
  <c r="J24" i="5"/>
  <c r="J23" i="5" s="1"/>
  <c r="J21" i="5" s="1"/>
  <c r="J14" i="5"/>
  <c r="J11" i="5" s="1"/>
  <c r="J7" i="5"/>
  <c r="J6" i="5" s="1"/>
  <c r="J23" i="14"/>
  <c r="J21" i="14" s="1"/>
  <c r="J11" i="14"/>
  <c r="J7" i="14"/>
  <c r="J6" i="14" s="1"/>
  <c r="C6" i="7"/>
  <c r="C11" i="7"/>
  <c r="D6" i="7"/>
  <c r="D11" i="7"/>
  <c r="E6" i="7"/>
  <c r="E11" i="7"/>
  <c r="F6" i="7"/>
  <c r="F11" i="7"/>
  <c r="G6" i="7"/>
  <c r="G11" i="7"/>
  <c r="H6" i="7"/>
  <c r="H11" i="7"/>
  <c r="I6" i="7"/>
  <c r="I11" i="7"/>
  <c r="C24" i="7"/>
  <c r="C23" i="7" s="1"/>
  <c r="D24" i="7"/>
  <c r="D23" i="7" s="1"/>
  <c r="E24" i="7"/>
  <c r="E23" i="7" s="1"/>
  <c r="F23" i="7"/>
  <c r="G23" i="7"/>
  <c r="H23" i="7"/>
  <c r="I23" i="7"/>
  <c r="H7" i="9"/>
  <c r="H6" i="9" s="1"/>
  <c r="I7" i="9"/>
  <c r="I6" i="9" s="1"/>
  <c r="I7" i="27"/>
  <c r="I6" i="27" s="1"/>
  <c r="H24" i="9"/>
  <c r="H23" i="9" s="1"/>
  <c r="H21" i="9" s="1"/>
  <c r="I24" i="9"/>
  <c r="I23" i="9" s="1"/>
  <c r="I21" i="9" s="1"/>
  <c r="I24" i="27"/>
  <c r="I23" i="27" s="1"/>
  <c r="I21" i="27" s="1"/>
  <c r="H7" i="27"/>
  <c r="H6" i="27" s="1"/>
  <c r="H68" i="1"/>
  <c r="H72" i="1"/>
  <c r="F7" i="9"/>
  <c r="F6" i="9" s="1"/>
  <c r="G7" i="27"/>
  <c r="G9" i="27"/>
  <c r="G9" i="1" s="1"/>
  <c r="G49" i="1" s="1"/>
  <c r="G52" i="1"/>
  <c r="G24" i="27"/>
  <c r="G23" i="27" s="1"/>
  <c r="G21" i="27" s="1"/>
  <c r="G66" i="1"/>
  <c r="G70" i="1"/>
  <c r="G72" i="1"/>
  <c r="F7" i="27"/>
  <c r="F48" i="1"/>
  <c r="F9" i="27"/>
  <c r="F9" i="1" s="1"/>
  <c r="F49" i="1" s="1"/>
  <c r="F52" i="1"/>
  <c r="F13" i="27"/>
  <c r="F13" i="1" s="1"/>
  <c r="F53" i="1" s="1"/>
  <c r="F56" i="1"/>
  <c r="F24" i="27"/>
  <c r="F23" i="27" s="1"/>
  <c r="F21" i="27" s="1"/>
  <c r="F66" i="1"/>
  <c r="E9" i="27"/>
  <c r="E9" i="1" s="1"/>
  <c r="E49" i="1" s="1"/>
  <c r="E53" i="1"/>
  <c r="E24" i="27"/>
  <c r="E23" i="27" s="1"/>
  <c r="E21" i="27" s="1"/>
  <c r="E65" i="1"/>
  <c r="E68" i="1"/>
  <c r="E72" i="1"/>
  <c r="D48" i="1"/>
  <c r="D9" i="27"/>
  <c r="D9" i="1" s="1"/>
  <c r="D49" i="1" s="1"/>
  <c r="D56" i="1"/>
  <c r="D58" i="1"/>
  <c r="D24" i="27"/>
  <c r="D23" i="27" s="1"/>
  <c r="D21" i="27" s="1"/>
  <c r="D65" i="1"/>
  <c r="D68" i="1"/>
  <c r="D70" i="1"/>
  <c r="D72" i="1"/>
  <c r="H70" i="1"/>
  <c r="E70" i="1"/>
  <c r="G68" i="1"/>
  <c r="F68" i="1"/>
  <c r="G58" i="1"/>
  <c r="G56" i="1"/>
  <c r="E56" i="1"/>
  <c r="D52" i="1"/>
  <c r="E48" i="1"/>
  <c r="I34" i="5"/>
  <c r="I32" i="5"/>
  <c r="I30" i="5"/>
  <c r="I28" i="5"/>
  <c r="I26" i="5"/>
  <c r="I24" i="5"/>
  <c r="I14" i="5"/>
  <c r="I13" i="5"/>
  <c r="I9" i="5"/>
  <c r="I8" i="5"/>
  <c r="I7" i="5"/>
  <c r="I34" i="14"/>
  <c r="I32" i="14"/>
  <c r="I30" i="14"/>
  <c r="I28" i="14"/>
  <c r="I26" i="14"/>
  <c r="I24" i="14"/>
  <c r="I14" i="14"/>
  <c r="I13" i="14"/>
  <c r="I12" i="14"/>
  <c r="I9" i="14"/>
  <c r="I8" i="14"/>
  <c r="I7" i="14"/>
  <c r="I7" i="16"/>
  <c r="I7" i="18"/>
  <c r="I24" i="18"/>
  <c r="I32" i="18"/>
  <c r="I30" i="18"/>
  <c r="I28" i="18"/>
  <c r="I26" i="18"/>
  <c r="I25" i="18"/>
  <c r="I18" i="18"/>
  <c r="I18" i="1" s="1"/>
  <c r="I58" i="1" s="1"/>
  <c r="I14" i="18"/>
  <c r="I13" i="18"/>
  <c r="I12" i="18"/>
  <c r="I9" i="18"/>
  <c r="I8" i="18"/>
  <c r="I8" i="26"/>
  <c r="I9" i="26"/>
  <c r="I24" i="26"/>
  <c r="I34" i="26"/>
  <c r="I32" i="26"/>
  <c r="I30" i="26"/>
  <c r="I28" i="26"/>
  <c r="I26" i="26"/>
  <c r="I25" i="26"/>
  <c r="I16" i="26"/>
  <c r="I16" i="1" s="1"/>
  <c r="I56" i="1" s="1"/>
  <c r="I12" i="26"/>
  <c r="I7" i="26"/>
  <c r="I7" i="4"/>
  <c r="I6" i="4" s="1"/>
  <c r="I23" i="4"/>
  <c r="I21" i="4" s="1"/>
  <c r="I23" i="24"/>
  <c r="I21" i="24" s="1"/>
  <c r="I11" i="24"/>
  <c r="I6" i="24"/>
  <c r="I23" i="28"/>
  <c r="I21" i="28" s="1"/>
  <c r="I11" i="28"/>
  <c r="I6" i="28"/>
  <c r="I34" i="6"/>
  <c r="I25" i="6"/>
  <c r="I24" i="6"/>
  <c r="I11" i="6"/>
  <c r="I7" i="6"/>
  <c r="I6" i="6" s="1"/>
  <c r="I24" i="22"/>
  <c r="I23" i="22" s="1"/>
  <c r="I21" i="22" s="1"/>
  <c r="I11" i="22"/>
  <c r="I8" i="22"/>
  <c r="I7" i="22"/>
  <c r="I11" i="27"/>
  <c r="I23" i="10"/>
  <c r="I21" i="10" s="1"/>
  <c r="I11" i="10"/>
  <c r="I6" i="10"/>
  <c r="I34" i="11"/>
  <c r="I26" i="11"/>
  <c r="I24" i="11"/>
  <c r="I14" i="11"/>
  <c r="I11" i="11" s="1"/>
  <c r="I7" i="11"/>
  <c r="I6" i="11" s="1"/>
  <c r="I24" i="29"/>
  <c r="I23" i="29" s="1"/>
  <c r="I21" i="29" s="1"/>
  <c r="I11" i="29"/>
  <c r="I7" i="29"/>
  <c r="I6" i="29" s="1"/>
  <c r="I11" i="4"/>
  <c r="I23" i="25"/>
  <c r="I21" i="25" s="1"/>
  <c r="I11" i="25"/>
  <c r="I6" i="25"/>
  <c r="I23" i="20"/>
  <c r="I21" i="20" s="1"/>
  <c r="I11" i="20"/>
  <c r="I6" i="20"/>
  <c r="I34" i="17"/>
  <c r="I25" i="17"/>
  <c r="I24" i="17"/>
  <c r="I11" i="17"/>
  <c r="I7" i="17"/>
  <c r="I6" i="17" s="1"/>
  <c r="I13" i="26"/>
  <c r="I23" i="30"/>
  <c r="I21" i="30" s="1"/>
  <c r="I11" i="30"/>
  <c r="I6" i="30"/>
  <c r="I23" i="13"/>
  <c r="I21" i="13" s="1"/>
  <c r="I11" i="13"/>
  <c r="I6" i="13"/>
  <c r="I23" i="15"/>
  <c r="I21" i="15" s="1"/>
  <c r="I11" i="15"/>
  <c r="I6" i="15"/>
  <c r="I11" i="9"/>
  <c r="I23" i="12"/>
  <c r="I21" i="12" s="1"/>
  <c r="I11" i="12"/>
  <c r="I6" i="12"/>
  <c r="I11" i="16"/>
  <c r="I24" i="16"/>
  <c r="I23" i="16" s="1"/>
  <c r="I21" i="16" s="1"/>
  <c r="I6" i="16"/>
  <c r="I23" i="21"/>
  <c r="I21" i="21" s="1"/>
  <c r="I11" i="21"/>
  <c r="I4" i="21" s="1"/>
  <c r="I6" i="21"/>
  <c r="H23" i="4"/>
  <c r="H21" i="4" s="1"/>
  <c r="H7" i="4"/>
  <c r="H6" i="4" s="1"/>
  <c r="G25" i="4"/>
  <c r="G7" i="4"/>
  <c r="G6" i="4" s="1"/>
  <c r="F24" i="4"/>
  <c r="F23" i="4" s="1"/>
  <c r="F21" i="4" s="1"/>
  <c r="F7" i="4"/>
  <c r="F6" i="4" s="1"/>
  <c r="E7" i="4"/>
  <c r="E6" i="4" s="1"/>
  <c r="D23" i="4"/>
  <c r="D21" i="4" s="1"/>
  <c r="D7" i="4"/>
  <c r="C7" i="4"/>
  <c r="C8" i="4"/>
  <c r="C23" i="4"/>
  <c r="C21" i="4" s="1"/>
  <c r="H11" i="4"/>
  <c r="G11" i="4"/>
  <c r="F11" i="4"/>
  <c r="E23" i="4"/>
  <c r="E21" i="4" s="1"/>
  <c r="D11" i="4"/>
  <c r="E11" i="4"/>
  <c r="C11" i="4"/>
  <c r="H7" i="30"/>
  <c r="H6" i="30" s="1"/>
  <c r="H23" i="30"/>
  <c r="H21" i="30" s="1"/>
  <c r="H11" i="30"/>
  <c r="G23" i="30"/>
  <c r="G21" i="30" s="1"/>
  <c r="G11" i="30"/>
  <c r="G6" i="30"/>
  <c r="F6" i="30"/>
  <c r="F11" i="30"/>
  <c r="F23" i="30"/>
  <c r="F21" i="30" s="1"/>
  <c r="E23" i="30"/>
  <c r="E21" i="30" s="1"/>
  <c r="D23" i="30"/>
  <c r="D21" i="30" s="1"/>
  <c r="C23" i="30"/>
  <c r="C21" i="30" s="1"/>
  <c r="E11" i="30"/>
  <c r="D11" i="30"/>
  <c r="C11" i="30"/>
  <c r="E6" i="30"/>
  <c r="D6" i="30"/>
  <c r="D4" i="30" s="1"/>
  <c r="C6" i="30"/>
  <c r="H18" i="26"/>
  <c r="F18" i="22"/>
  <c r="F18" i="1" s="1"/>
  <c r="F58" i="1" s="1"/>
  <c r="E18" i="22"/>
  <c r="E18" i="1" s="1"/>
  <c r="E58" i="1" s="1"/>
  <c r="G34" i="17"/>
  <c r="F34" i="17"/>
  <c r="F34" i="16"/>
  <c r="F32" i="16"/>
  <c r="F32" i="1" s="1"/>
  <c r="F72" i="1" s="1"/>
  <c r="F30" i="22"/>
  <c r="F30" i="1" s="1"/>
  <c r="F70" i="1" s="1"/>
  <c r="F25" i="15"/>
  <c r="H16" i="26"/>
  <c r="H16" i="1" s="1"/>
  <c r="H56" i="1" s="1"/>
  <c r="G14" i="17"/>
  <c r="G11" i="17" s="1"/>
  <c r="G14" i="5"/>
  <c r="G11" i="5" s="1"/>
  <c r="F14" i="17"/>
  <c r="F11" i="17" s="1"/>
  <c r="F14" i="5"/>
  <c r="F11" i="5" s="1"/>
  <c r="E14" i="17"/>
  <c r="E11" i="17" s="1"/>
  <c r="E14" i="5"/>
  <c r="D14" i="17"/>
  <c r="D11" i="17" s="1"/>
  <c r="D14" i="5"/>
  <c r="G13" i="15"/>
  <c r="G13" i="1" s="1"/>
  <c r="G53" i="1" s="1"/>
  <c r="E12" i="26"/>
  <c r="E12" i="1" s="1"/>
  <c r="E52" i="1" s="1"/>
  <c r="G8" i="5"/>
  <c r="G8" i="1" s="1"/>
  <c r="G48" i="1" s="1"/>
  <c r="C8" i="26"/>
  <c r="C14" i="5"/>
  <c r="C14" i="1" s="1"/>
  <c r="V14" i="1" s="1"/>
  <c r="H8" i="17"/>
  <c r="H8" i="15"/>
  <c r="H6" i="15" s="1"/>
  <c r="C7" i="26"/>
  <c r="C7" i="18"/>
  <c r="C7" i="17"/>
  <c r="C6" i="17" s="1"/>
  <c r="C7" i="16"/>
  <c r="C6" i="16" s="1"/>
  <c r="C7" i="15"/>
  <c r="C7" i="14"/>
  <c r="C6" i="14" s="1"/>
  <c r="C7" i="5"/>
  <c r="C6" i="5" s="1"/>
  <c r="C24" i="26"/>
  <c r="C23" i="26" s="1"/>
  <c r="C21" i="26" s="1"/>
  <c r="C24" i="18"/>
  <c r="C24" i="16"/>
  <c r="C23" i="16" s="1"/>
  <c r="C21" i="16" s="1"/>
  <c r="C24" i="14"/>
  <c r="C23" i="14" s="1"/>
  <c r="C21" i="14" s="1"/>
  <c r="C24" i="5"/>
  <c r="C23" i="5" s="1"/>
  <c r="C21" i="5" s="1"/>
  <c r="D7" i="29"/>
  <c r="D6" i="29" s="1"/>
  <c r="D7" i="26"/>
  <c r="D6" i="26" s="1"/>
  <c r="D7" i="18"/>
  <c r="D6" i="18" s="1"/>
  <c r="D7" i="17"/>
  <c r="D7" i="16"/>
  <c r="D6" i="16" s="1"/>
  <c r="D7" i="14"/>
  <c r="D6" i="14" s="1"/>
  <c r="D7" i="5"/>
  <c r="D6" i="5" s="1"/>
  <c r="E7" i="29"/>
  <c r="E6" i="29" s="1"/>
  <c r="E7" i="26"/>
  <c r="E6" i="26" s="1"/>
  <c r="E7" i="18"/>
  <c r="E6" i="18" s="1"/>
  <c r="E7" i="17"/>
  <c r="E6" i="17" s="1"/>
  <c r="E7" i="16"/>
  <c r="E6" i="16" s="1"/>
  <c r="E7" i="14"/>
  <c r="E6" i="14" s="1"/>
  <c r="E7" i="5"/>
  <c r="E6" i="5" s="1"/>
  <c r="D24" i="29"/>
  <c r="D23" i="29" s="1"/>
  <c r="D21" i="29" s="1"/>
  <c r="D24" i="26"/>
  <c r="D23" i="26" s="1"/>
  <c r="D21" i="26" s="1"/>
  <c r="D24" i="18"/>
  <c r="D23" i="18" s="1"/>
  <c r="D21" i="18" s="1"/>
  <c r="D24" i="17"/>
  <c r="D23" i="17" s="1"/>
  <c r="D21" i="17" s="1"/>
  <c r="D24" i="16"/>
  <c r="D23" i="16" s="1"/>
  <c r="D21" i="16" s="1"/>
  <c r="D24" i="14"/>
  <c r="D23" i="14" s="1"/>
  <c r="D21" i="14" s="1"/>
  <c r="D24" i="5"/>
  <c r="D23" i="5" s="1"/>
  <c r="D21" i="5" s="1"/>
  <c r="E24" i="26"/>
  <c r="E23" i="26" s="1"/>
  <c r="E21" i="26" s="1"/>
  <c r="E24" i="18"/>
  <c r="E24" i="16"/>
  <c r="E23" i="16" s="1"/>
  <c r="E21" i="16" s="1"/>
  <c r="E24" i="14"/>
  <c r="E23" i="14" s="1"/>
  <c r="E21" i="14" s="1"/>
  <c r="E24" i="5"/>
  <c r="E23" i="5" s="1"/>
  <c r="E21" i="5" s="1"/>
  <c r="F7" i="26"/>
  <c r="F6" i="26" s="1"/>
  <c r="F7" i="18"/>
  <c r="F7" i="17"/>
  <c r="F7" i="16"/>
  <c r="F6" i="16" s="1"/>
  <c r="F7" i="14"/>
  <c r="F6" i="14" s="1"/>
  <c r="F7" i="10"/>
  <c r="F6" i="10" s="1"/>
  <c r="F7" i="5"/>
  <c r="F6" i="5" s="1"/>
  <c r="F24" i="26"/>
  <c r="F23" i="26" s="1"/>
  <c r="F21" i="26" s="1"/>
  <c r="F24" i="18"/>
  <c r="F23" i="18" s="1"/>
  <c r="F21" i="18" s="1"/>
  <c r="F24" i="17"/>
  <c r="F23" i="17" s="1"/>
  <c r="F24" i="16"/>
  <c r="F23" i="16" s="1"/>
  <c r="F24" i="14"/>
  <c r="F23" i="14" s="1"/>
  <c r="F21" i="14" s="1"/>
  <c r="F24" i="5"/>
  <c r="F23" i="5" s="1"/>
  <c r="F21" i="5" s="1"/>
  <c r="H34" i="17"/>
  <c r="H34" i="11"/>
  <c r="H26" i="11"/>
  <c r="H24" i="29"/>
  <c r="H23" i="29" s="1"/>
  <c r="H21" i="29" s="1"/>
  <c r="H24" i="17"/>
  <c r="H23" i="17" s="1"/>
  <c r="H21" i="17" s="1"/>
  <c r="H24" i="16"/>
  <c r="H23" i="16" s="1"/>
  <c r="H21" i="16" s="1"/>
  <c r="H24" i="11"/>
  <c r="H14" i="11"/>
  <c r="H14" i="5"/>
  <c r="H11" i="5" s="1"/>
  <c r="H12" i="11"/>
  <c r="H12" i="1" s="1"/>
  <c r="H52" i="1" s="1"/>
  <c r="H9" i="11"/>
  <c r="H9" i="1" s="1"/>
  <c r="H49" i="1" s="1"/>
  <c r="G24" i="26"/>
  <c r="G23" i="26" s="1"/>
  <c r="G21" i="26" s="1"/>
  <c r="G24" i="18"/>
  <c r="G23" i="18" s="1"/>
  <c r="G21" i="18" s="1"/>
  <c r="G24" i="17"/>
  <c r="G23" i="17" s="1"/>
  <c r="G24" i="16"/>
  <c r="G23" i="16" s="1"/>
  <c r="G21" i="16" s="1"/>
  <c r="G24" i="14"/>
  <c r="G23" i="14" s="1"/>
  <c r="G21" i="14" s="1"/>
  <c r="G24" i="11"/>
  <c r="G23" i="11" s="1"/>
  <c r="G21" i="11" s="1"/>
  <c r="G24" i="5"/>
  <c r="G23" i="5" s="1"/>
  <c r="G21" i="5" s="1"/>
  <c r="G7" i="26"/>
  <c r="G6" i="26" s="1"/>
  <c r="G7" i="18"/>
  <c r="G7" i="17"/>
  <c r="G6" i="17" s="1"/>
  <c r="G7" i="16"/>
  <c r="G6" i="16" s="1"/>
  <c r="G7" i="14"/>
  <c r="G6" i="14" s="1"/>
  <c r="G7" i="11"/>
  <c r="G6" i="11" s="1"/>
  <c r="G7" i="5"/>
  <c r="H7" i="29"/>
  <c r="H6" i="29" s="1"/>
  <c r="H7" i="18"/>
  <c r="H7" i="17"/>
  <c r="H6" i="17" s="1"/>
  <c r="H7" i="16"/>
  <c r="H6" i="16" s="1"/>
  <c r="H7" i="14"/>
  <c r="H6" i="14" s="1"/>
  <c r="H7" i="11"/>
  <c r="H6" i="11" s="1"/>
  <c r="H7" i="5"/>
  <c r="G23" i="29"/>
  <c r="G21" i="29" s="1"/>
  <c r="F23" i="29"/>
  <c r="F21" i="29" s="1"/>
  <c r="E23" i="29"/>
  <c r="E21" i="29" s="1"/>
  <c r="C21" i="29"/>
  <c r="H11" i="29"/>
  <c r="G11" i="29"/>
  <c r="G4" i="29" s="1"/>
  <c r="F6" i="29"/>
  <c r="F11" i="29"/>
  <c r="E11" i="29"/>
  <c r="D11" i="29"/>
  <c r="C4" i="29"/>
  <c r="H23" i="28"/>
  <c r="H21" i="28" s="1"/>
  <c r="H6" i="28"/>
  <c r="H11" i="28"/>
  <c r="G23" i="28"/>
  <c r="G21" i="28" s="1"/>
  <c r="G11" i="28"/>
  <c r="G6" i="28"/>
  <c r="F23" i="28"/>
  <c r="F21" i="28" s="1"/>
  <c r="F11" i="28"/>
  <c r="F6" i="28"/>
  <c r="C23" i="28"/>
  <c r="C21" i="28" s="1"/>
  <c r="D23" i="28"/>
  <c r="D21" i="28" s="1"/>
  <c r="E23" i="28"/>
  <c r="E21" i="28" s="1"/>
  <c r="E11" i="28"/>
  <c r="D11" i="28"/>
  <c r="C11" i="28"/>
  <c r="E6" i="28"/>
  <c r="D6" i="28"/>
  <c r="C6" i="28"/>
  <c r="H23" i="27"/>
  <c r="H21" i="27" s="1"/>
  <c r="H11" i="27"/>
  <c r="G11" i="27"/>
  <c r="F11" i="27"/>
  <c r="C23" i="27"/>
  <c r="C21" i="27" s="1"/>
  <c r="E11" i="27"/>
  <c r="D11" i="27"/>
  <c r="C11" i="27"/>
  <c r="C6" i="27"/>
  <c r="H23" i="26"/>
  <c r="H21" i="26" s="1"/>
  <c r="H11" i="26"/>
  <c r="H6" i="26"/>
  <c r="G11" i="26"/>
  <c r="F11" i="26"/>
  <c r="C11" i="26"/>
  <c r="D11" i="26"/>
  <c r="C6" i="26"/>
  <c r="H23" i="25"/>
  <c r="H21" i="25" s="1"/>
  <c r="H11" i="25"/>
  <c r="H6" i="25"/>
  <c r="G6" i="25"/>
  <c r="G11" i="25"/>
  <c r="G23" i="25"/>
  <c r="G21" i="25" s="1"/>
  <c r="F23" i="25"/>
  <c r="F21" i="25" s="1"/>
  <c r="F11" i="25"/>
  <c r="F6" i="25"/>
  <c r="C23" i="25"/>
  <c r="C21" i="25" s="1"/>
  <c r="D23" i="25"/>
  <c r="D21" i="25" s="1"/>
  <c r="C6" i="25"/>
  <c r="C11" i="25"/>
  <c r="D6" i="25"/>
  <c r="D11" i="25"/>
  <c r="E6" i="25"/>
  <c r="E11" i="25"/>
  <c r="E23" i="25"/>
  <c r="E21" i="25" s="1"/>
  <c r="G23" i="24"/>
  <c r="G21" i="24" s="1"/>
  <c r="F23" i="24"/>
  <c r="F21" i="24" s="1"/>
  <c r="D23" i="24"/>
  <c r="D21" i="24" s="1"/>
  <c r="E23" i="24"/>
  <c r="E21" i="24" s="1"/>
  <c r="H23" i="24"/>
  <c r="H21" i="24" s="1"/>
  <c r="C23" i="24"/>
  <c r="C21" i="24" s="1"/>
  <c r="H11" i="24"/>
  <c r="G11" i="24"/>
  <c r="F11" i="24"/>
  <c r="E11" i="24"/>
  <c r="D11" i="24"/>
  <c r="H6" i="24"/>
  <c r="G6" i="24"/>
  <c r="F6" i="24"/>
  <c r="E6" i="24"/>
  <c r="D6" i="24"/>
  <c r="C11" i="24"/>
  <c r="C6" i="24"/>
  <c r="H23" i="22"/>
  <c r="H21" i="22" s="1"/>
  <c r="H11" i="22"/>
  <c r="H6" i="22"/>
  <c r="G23" i="22"/>
  <c r="G21" i="22" s="1"/>
  <c r="G11" i="22"/>
  <c r="G6" i="22"/>
  <c r="F23" i="22"/>
  <c r="F11" i="22"/>
  <c r="F6" i="22"/>
  <c r="E23" i="22"/>
  <c r="E21" i="22" s="1"/>
  <c r="E11" i="22"/>
  <c r="E6" i="22"/>
  <c r="D23" i="22"/>
  <c r="D21" i="22" s="1"/>
  <c r="C23" i="22"/>
  <c r="C21" i="22" s="1"/>
  <c r="D11" i="22"/>
  <c r="C11" i="22"/>
  <c r="D6" i="22"/>
  <c r="C6" i="22"/>
  <c r="C4" i="22" s="1"/>
  <c r="H23" i="21"/>
  <c r="H21" i="21" s="1"/>
  <c r="H11" i="21"/>
  <c r="H6" i="21"/>
  <c r="G23" i="21"/>
  <c r="G21" i="21" s="1"/>
  <c r="G11" i="21"/>
  <c r="G6" i="21"/>
  <c r="F23" i="21"/>
  <c r="F21" i="21" s="1"/>
  <c r="F11" i="21"/>
  <c r="F6" i="21"/>
  <c r="D23" i="21"/>
  <c r="D21" i="21" s="1"/>
  <c r="E23" i="21"/>
  <c r="E21" i="21" s="1"/>
  <c r="C23" i="21"/>
  <c r="C21" i="21" s="1"/>
  <c r="E11" i="21"/>
  <c r="D11" i="21"/>
  <c r="C11" i="21"/>
  <c r="E6" i="21"/>
  <c r="D6" i="21"/>
  <c r="C6" i="21"/>
  <c r="H23" i="20"/>
  <c r="H21" i="20" s="1"/>
  <c r="G23" i="20"/>
  <c r="G21" i="20" s="1"/>
  <c r="F23" i="20"/>
  <c r="F21" i="20" s="1"/>
  <c r="E23" i="20"/>
  <c r="E21" i="20" s="1"/>
  <c r="D23" i="20"/>
  <c r="D21" i="20" s="1"/>
  <c r="C23" i="20"/>
  <c r="C21" i="20" s="1"/>
  <c r="H11" i="20"/>
  <c r="G11" i="20"/>
  <c r="F11" i="20"/>
  <c r="E11" i="20"/>
  <c r="D11" i="20"/>
  <c r="H6" i="20"/>
  <c r="G6" i="20"/>
  <c r="F6" i="20"/>
  <c r="E6" i="20"/>
  <c r="D6" i="20"/>
  <c r="C6" i="20"/>
  <c r="C11" i="20"/>
  <c r="H11" i="18"/>
  <c r="G11" i="18"/>
  <c r="F11" i="18"/>
  <c r="E11" i="18"/>
  <c r="D11" i="18"/>
  <c r="C11" i="18"/>
  <c r="H11" i="17"/>
  <c r="E23" i="17"/>
  <c r="E21" i="17" s="1"/>
  <c r="C23" i="17"/>
  <c r="C21" i="17" s="1"/>
  <c r="C11" i="17"/>
  <c r="F6" i="17"/>
  <c r="D6" i="17"/>
  <c r="H11" i="16"/>
  <c r="G11" i="16"/>
  <c r="F11" i="16"/>
  <c r="E11" i="16"/>
  <c r="D11" i="16"/>
  <c r="C11" i="16"/>
  <c r="H23" i="15"/>
  <c r="H21" i="15" s="1"/>
  <c r="H11" i="15"/>
  <c r="G23" i="15"/>
  <c r="G21" i="15" s="1"/>
  <c r="G6" i="15"/>
  <c r="F11" i="15"/>
  <c r="F6" i="15"/>
  <c r="E23" i="15"/>
  <c r="E21" i="15" s="1"/>
  <c r="D23" i="15"/>
  <c r="D21" i="15" s="1"/>
  <c r="C23" i="15"/>
  <c r="C21" i="15" s="1"/>
  <c r="D11" i="15"/>
  <c r="C11" i="15"/>
  <c r="D6" i="15"/>
  <c r="C6" i="15"/>
  <c r="E11" i="15"/>
  <c r="E6" i="15"/>
  <c r="H23" i="14"/>
  <c r="H21" i="14" s="1"/>
  <c r="H11" i="14"/>
  <c r="G11" i="14"/>
  <c r="F11" i="14"/>
  <c r="E11" i="14"/>
  <c r="D11" i="14"/>
  <c r="C11" i="14"/>
  <c r="D23" i="13"/>
  <c r="D21" i="13" s="1"/>
  <c r="H6" i="13"/>
  <c r="H11" i="13"/>
  <c r="H23" i="13"/>
  <c r="H21" i="13" s="1"/>
  <c r="G23" i="13"/>
  <c r="G21" i="13" s="1"/>
  <c r="G11" i="13"/>
  <c r="G6" i="13"/>
  <c r="F23" i="13"/>
  <c r="F21" i="13" s="1"/>
  <c r="F11" i="13"/>
  <c r="F6" i="13"/>
  <c r="E23" i="13"/>
  <c r="E21" i="13" s="1"/>
  <c r="C23" i="13"/>
  <c r="C21" i="13" s="1"/>
  <c r="E11" i="13"/>
  <c r="D11" i="13"/>
  <c r="C11" i="13"/>
  <c r="E6" i="13"/>
  <c r="D6" i="13"/>
  <c r="C6" i="13"/>
  <c r="H23" i="12"/>
  <c r="H21" i="12" s="1"/>
  <c r="H6" i="12"/>
  <c r="H11" i="12"/>
  <c r="G23" i="12"/>
  <c r="G21" i="12" s="1"/>
  <c r="G11" i="12"/>
  <c r="G6" i="12"/>
  <c r="F23" i="12"/>
  <c r="F21" i="12" s="1"/>
  <c r="F11" i="12"/>
  <c r="F6" i="12"/>
  <c r="E23" i="12"/>
  <c r="E21" i="12" s="1"/>
  <c r="D23" i="12"/>
  <c r="D21" i="12" s="1"/>
  <c r="C23" i="12"/>
  <c r="C21" i="12" s="1"/>
  <c r="E11" i="12"/>
  <c r="D11" i="12"/>
  <c r="C11" i="12"/>
  <c r="E6" i="12"/>
  <c r="D6" i="12"/>
  <c r="C6" i="12"/>
  <c r="G11" i="11"/>
  <c r="F23" i="11"/>
  <c r="F21" i="11" s="1"/>
  <c r="F11" i="11"/>
  <c r="F6" i="11"/>
  <c r="E23" i="11"/>
  <c r="E21" i="11" s="1"/>
  <c r="C23" i="11"/>
  <c r="C21" i="11" s="1"/>
  <c r="D23" i="11"/>
  <c r="D21" i="11" s="1"/>
  <c r="E11" i="11"/>
  <c r="D11" i="11"/>
  <c r="C11" i="11"/>
  <c r="E6" i="11"/>
  <c r="D6" i="11"/>
  <c r="C6" i="11"/>
  <c r="H23" i="10"/>
  <c r="H21" i="10" s="1"/>
  <c r="H11" i="10"/>
  <c r="H6" i="10"/>
  <c r="G11" i="10"/>
  <c r="G23" i="10"/>
  <c r="G21" i="10" s="1"/>
  <c r="G6" i="10"/>
  <c r="F23" i="10"/>
  <c r="F21" i="10" s="1"/>
  <c r="F11" i="10"/>
  <c r="E23" i="10"/>
  <c r="E21" i="10" s="1"/>
  <c r="D23" i="10"/>
  <c r="D21" i="10" s="1"/>
  <c r="C23" i="10"/>
  <c r="C21" i="10" s="1"/>
  <c r="C6" i="10"/>
  <c r="C11" i="10"/>
  <c r="E11" i="10"/>
  <c r="D11" i="10"/>
  <c r="E6" i="10"/>
  <c r="D6" i="10"/>
  <c r="H11" i="9"/>
  <c r="G23" i="9"/>
  <c r="G21" i="9" s="1"/>
  <c r="G11" i="9"/>
  <c r="G6" i="9"/>
  <c r="F23" i="9"/>
  <c r="F21" i="9" s="1"/>
  <c r="F11" i="9"/>
  <c r="E23" i="9"/>
  <c r="E21" i="9" s="1"/>
  <c r="D23" i="9"/>
  <c r="D21" i="9" s="1"/>
  <c r="C23" i="9"/>
  <c r="C21" i="9" s="1"/>
  <c r="E11" i="9"/>
  <c r="D11" i="9"/>
  <c r="C11" i="9"/>
  <c r="E6" i="9"/>
  <c r="D6" i="9"/>
  <c r="C6" i="9"/>
  <c r="H23" i="6"/>
  <c r="H21" i="6" s="1"/>
  <c r="H11" i="6"/>
  <c r="H6" i="6"/>
  <c r="G23" i="6"/>
  <c r="G21" i="6" s="1"/>
  <c r="G11" i="6"/>
  <c r="G6" i="6"/>
  <c r="F23" i="6"/>
  <c r="F21" i="6" s="1"/>
  <c r="F11" i="6"/>
  <c r="F6" i="6"/>
  <c r="E23" i="6"/>
  <c r="E21" i="6" s="1"/>
  <c r="D23" i="6"/>
  <c r="D21" i="6" s="1"/>
  <c r="C23" i="6"/>
  <c r="C21" i="6" s="1"/>
  <c r="E11" i="6"/>
  <c r="D11" i="6"/>
  <c r="C11" i="6"/>
  <c r="E6" i="6"/>
  <c r="D6" i="6"/>
  <c r="C6" i="6"/>
  <c r="H23" i="5"/>
  <c r="H21" i="5" s="1"/>
  <c r="E11" i="5"/>
  <c r="D11" i="5"/>
  <c r="H6" i="5"/>
  <c r="C58" i="1"/>
  <c r="V58" i="1" s="1"/>
  <c r="C49" i="1"/>
  <c r="V49" i="1" s="1"/>
  <c r="D6" i="4"/>
  <c r="D4" i="4" s="1"/>
  <c r="C72" i="1"/>
  <c r="V72" i="1" s="1"/>
  <c r="M11" i="27"/>
  <c r="C70" i="1"/>
  <c r="V70" i="1" s="1"/>
  <c r="F4" i="16" l="1"/>
  <c r="G21" i="17"/>
  <c r="F4" i="31"/>
  <c r="D4" i="21"/>
  <c r="N25" i="1"/>
  <c r="N65" i="1" s="1"/>
  <c r="C4" i="21"/>
  <c r="H4" i="30"/>
  <c r="J4" i="5"/>
  <c r="J23" i="6"/>
  <c r="J21" i="6" s="1"/>
  <c r="J21" i="17"/>
  <c r="J4" i="11"/>
  <c r="K4" i="20"/>
  <c r="G11" i="15"/>
  <c r="E4" i="16"/>
  <c r="C4" i="16"/>
  <c r="C4" i="30"/>
  <c r="J4" i="21"/>
  <c r="J23" i="11"/>
  <c r="J21" i="11" s="1"/>
  <c r="J4" i="29"/>
  <c r="K4" i="11"/>
  <c r="K4" i="9"/>
  <c r="E4" i="21"/>
  <c r="C4" i="11"/>
  <c r="D4" i="12"/>
  <c r="H4" i="13"/>
  <c r="F4" i="21"/>
  <c r="H4" i="21"/>
  <c r="K21" i="4"/>
  <c r="E4" i="29"/>
  <c r="C4" i="6"/>
  <c r="G4" i="6"/>
  <c r="E4" i="9"/>
  <c r="E4" i="22"/>
  <c r="E6" i="27"/>
  <c r="E4" i="27" s="1"/>
  <c r="G4" i="16"/>
  <c r="G4" i="30"/>
  <c r="L30" i="1"/>
  <c r="L70" i="1" s="1"/>
  <c r="H4" i="17"/>
  <c r="I4" i="30"/>
  <c r="J4" i="15"/>
  <c r="M4" i="26"/>
  <c r="L6" i="25"/>
  <c r="M4" i="21"/>
  <c r="D4" i="26"/>
  <c r="K4" i="6"/>
  <c r="L4" i="12"/>
  <c r="L11" i="22"/>
  <c r="D4" i="6"/>
  <c r="E4" i="6"/>
  <c r="I23" i="17"/>
  <c r="I21" i="17" s="1"/>
  <c r="J4" i="20"/>
  <c r="L4" i="11"/>
  <c r="M4" i="18"/>
  <c r="M4" i="13"/>
  <c r="H4" i="14"/>
  <c r="H4" i="29"/>
  <c r="F4" i="6"/>
  <c r="D4" i="9"/>
  <c r="H4" i="20"/>
  <c r="G4" i="20"/>
  <c r="G4" i="25"/>
  <c r="D4" i="29"/>
  <c r="F4" i="29"/>
  <c r="H4" i="16"/>
  <c r="F21" i="16"/>
  <c r="D4" i="16"/>
  <c r="I23" i="6"/>
  <c r="I21" i="6" s="1"/>
  <c r="L21" i="22"/>
  <c r="M4" i="15"/>
  <c r="M4" i="11"/>
  <c r="M4" i="6"/>
  <c r="N4" i="6"/>
  <c r="D4" i="22"/>
  <c r="H11" i="11"/>
  <c r="J4" i="6"/>
  <c r="G4" i="31"/>
  <c r="H4" i="6"/>
  <c r="H4" i="10"/>
  <c r="F4" i="13"/>
  <c r="F4" i="20"/>
  <c r="G4" i="21"/>
  <c r="H4" i="25"/>
  <c r="F4" i="26"/>
  <c r="E4" i="17"/>
  <c r="I23" i="26"/>
  <c r="I21" i="26" s="1"/>
  <c r="I6" i="26"/>
  <c r="J4" i="27"/>
  <c r="K4" i="22"/>
  <c r="L11" i="26"/>
  <c r="L4" i="29"/>
  <c r="L6" i="22"/>
  <c r="L4" i="22" s="1"/>
  <c r="K4" i="31"/>
  <c r="N4" i="30"/>
  <c r="N23" i="17"/>
  <c r="N4" i="11"/>
  <c r="N4" i="28"/>
  <c r="G4" i="17"/>
  <c r="C4" i="27"/>
  <c r="I4" i="16"/>
  <c r="I4" i="29"/>
  <c r="I4" i="6"/>
  <c r="H4" i="31"/>
  <c r="E4" i="10"/>
  <c r="F4" i="10"/>
  <c r="E4" i="13"/>
  <c r="E4" i="15"/>
  <c r="E4" i="20"/>
  <c r="E4" i="25"/>
  <c r="G4" i="26"/>
  <c r="C4" i="17"/>
  <c r="F4" i="30"/>
  <c r="J4" i="13"/>
  <c r="K4" i="29"/>
  <c r="K4" i="27"/>
  <c r="K4" i="21"/>
  <c r="L12" i="1"/>
  <c r="L52" i="1" s="1"/>
  <c r="L4" i="16"/>
  <c r="L4" i="17"/>
  <c r="L4" i="31"/>
  <c r="M4" i="30"/>
  <c r="M4" i="29"/>
  <c r="M6" i="25"/>
  <c r="M4" i="25" s="1"/>
  <c r="M4" i="20"/>
  <c r="M23" i="17"/>
  <c r="M21" i="17" s="1"/>
  <c r="N4" i="29"/>
  <c r="G4" i="11"/>
  <c r="L4" i="25"/>
  <c r="D4" i="13"/>
  <c r="G4" i="13"/>
  <c r="F4" i="15"/>
  <c r="F4" i="22"/>
  <c r="G4" i="22"/>
  <c r="G4" i="24"/>
  <c r="D4" i="25"/>
  <c r="C4" i="26"/>
  <c r="D4" i="28"/>
  <c r="F4" i="28"/>
  <c r="E4" i="30"/>
  <c r="E4" i="4"/>
  <c r="I11" i="26"/>
  <c r="I4" i="20"/>
  <c r="I6" i="22"/>
  <c r="I4" i="22" s="1"/>
  <c r="I4" i="9"/>
  <c r="J21" i="30"/>
  <c r="K4" i="16"/>
  <c r="K4" i="13"/>
  <c r="L4" i="6"/>
  <c r="L26" i="1"/>
  <c r="L66" i="1" s="1"/>
  <c r="L4" i="21"/>
  <c r="M4" i="24"/>
  <c r="M4" i="16"/>
  <c r="N4" i="9"/>
  <c r="N4" i="16"/>
  <c r="N4" i="31"/>
  <c r="N4" i="21"/>
  <c r="D4" i="5"/>
  <c r="G6" i="5"/>
  <c r="G4" i="5" s="1"/>
  <c r="E14" i="1"/>
  <c r="E54" i="1" s="1"/>
  <c r="I23" i="5"/>
  <c r="I21" i="5" s="1"/>
  <c r="K6" i="5"/>
  <c r="K4" i="5" s="1"/>
  <c r="K21" i="5"/>
  <c r="C11" i="5"/>
  <c r="C4" i="5" s="1"/>
  <c r="H4" i="5"/>
  <c r="K8" i="1"/>
  <c r="K48" i="1" s="1"/>
  <c r="G4" i="7"/>
  <c r="F4" i="17"/>
  <c r="C4" i="10"/>
  <c r="G4" i="10"/>
  <c r="C4" i="20"/>
  <c r="F4" i="9"/>
  <c r="K4" i="25"/>
  <c r="K4" i="8"/>
  <c r="D4" i="11"/>
  <c r="C4" i="13"/>
  <c r="D4" i="15"/>
  <c r="F21" i="22"/>
  <c r="F4" i="25"/>
  <c r="E11" i="26"/>
  <c r="E4" i="26" s="1"/>
  <c r="C8" i="1"/>
  <c r="V8" i="1" s="1"/>
  <c r="I4" i="17"/>
  <c r="I4" i="11"/>
  <c r="I4" i="10"/>
  <c r="J4" i="22"/>
  <c r="J4" i="10"/>
  <c r="J13" i="1"/>
  <c r="J53" i="1" s="1"/>
  <c r="K4" i="15"/>
  <c r="L4" i="13"/>
  <c r="L4" i="8"/>
  <c r="L4" i="10"/>
  <c r="H23" i="31"/>
  <c r="H21" i="31" s="1"/>
  <c r="E23" i="31"/>
  <c r="E21" i="31" s="1"/>
  <c r="I4" i="31"/>
  <c r="C4" i="31"/>
  <c r="M11" i="17"/>
  <c r="N4" i="13"/>
  <c r="N4" i="15"/>
  <c r="N4" i="20"/>
  <c r="N4" i="25"/>
  <c r="N23" i="25"/>
  <c r="N21" i="25" s="1"/>
  <c r="N11" i="22"/>
  <c r="N21" i="17"/>
  <c r="O4" i="26"/>
  <c r="O4" i="31"/>
  <c r="C4" i="9"/>
  <c r="H4" i="11"/>
  <c r="K4" i="24"/>
  <c r="G4" i="9"/>
  <c r="H4" i="9"/>
  <c r="E4" i="11"/>
  <c r="F4" i="11"/>
  <c r="H4" i="15"/>
  <c r="D4" i="17"/>
  <c r="D4" i="20"/>
  <c r="H4" i="22"/>
  <c r="F4" i="24"/>
  <c r="H23" i="11"/>
  <c r="H21" i="11" s="1"/>
  <c r="F21" i="17"/>
  <c r="I4" i="15"/>
  <c r="I4" i="13"/>
  <c r="I23" i="11"/>
  <c r="I21" i="11" s="1"/>
  <c r="J4" i="16"/>
  <c r="J4" i="9"/>
  <c r="J4" i="25"/>
  <c r="J8" i="1"/>
  <c r="J48" i="1" s="1"/>
  <c r="J26" i="1"/>
  <c r="J66" i="1" s="1"/>
  <c r="K23" i="26"/>
  <c r="K21" i="26" s="1"/>
  <c r="K11" i="26"/>
  <c r="E4" i="31"/>
  <c r="J4" i="31"/>
  <c r="M30" i="1"/>
  <c r="M70" i="1" s="1"/>
  <c r="M4" i="22"/>
  <c r="M4" i="9"/>
  <c r="M4" i="8"/>
  <c r="N4" i="8"/>
  <c r="N4" i="10"/>
  <c r="N4" i="24"/>
  <c r="N23" i="22"/>
  <c r="N21" i="22" s="1"/>
  <c r="O4" i="17"/>
  <c r="D6" i="27"/>
  <c r="D4" i="27" s="1"/>
  <c r="G6" i="27"/>
  <c r="G4" i="27" s="1"/>
  <c r="I4" i="27"/>
  <c r="L4" i="27"/>
  <c r="L23" i="27"/>
  <c r="L21" i="27" s="1"/>
  <c r="F6" i="27"/>
  <c r="F4" i="27" s="1"/>
  <c r="H4" i="4"/>
  <c r="F4" i="4"/>
  <c r="L21" i="4"/>
  <c r="F4" i="5"/>
  <c r="F14" i="1"/>
  <c r="F54" i="1" s="1"/>
  <c r="E4" i="5"/>
  <c r="I11" i="5"/>
  <c r="K14" i="1"/>
  <c r="K11" i="1" s="1"/>
  <c r="K51" i="1" s="1"/>
  <c r="F4" i="7"/>
  <c r="D4" i="7"/>
  <c r="J4" i="7"/>
  <c r="J34" i="7" s="1"/>
  <c r="O4" i="7"/>
  <c r="I4" i="7"/>
  <c r="O4" i="18"/>
  <c r="F4" i="12"/>
  <c r="M4" i="12"/>
  <c r="J4" i="14"/>
  <c r="G4" i="14"/>
  <c r="F4" i="14"/>
  <c r="L4" i="14"/>
  <c r="M4" i="31"/>
  <c r="I4" i="4"/>
  <c r="K4" i="4"/>
  <c r="N4" i="4"/>
  <c r="J4" i="4"/>
  <c r="C6" i="4"/>
  <c r="C4" i="4" s="1"/>
  <c r="H4" i="7"/>
  <c r="L4" i="7"/>
  <c r="E4" i="7"/>
  <c r="C4" i="7"/>
  <c r="M4" i="7"/>
  <c r="K21" i="18"/>
  <c r="C4" i="12"/>
  <c r="H4" i="12"/>
  <c r="I4" i="12"/>
  <c r="K4" i="12"/>
  <c r="E4" i="14"/>
  <c r="F7" i="1"/>
  <c r="F6" i="1" s="1"/>
  <c r="F46" i="1" s="1"/>
  <c r="I23" i="14"/>
  <c r="I21" i="14" s="1"/>
  <c r="K4" i="14"/>
  <c r="E4" i="28"/>
  <c r="G4" i="28"/>
  <c r="C4" i="28"/>
  <c r="H4" i="28"/>
  <c r="J4" i="30"/>
  <c r="C11" i="1"/>
  <c r="V11" i="1" s="1"/>
  <c r="J32" i="1"/>
  <c r="J72" i="1" s="1"/>
  <c r="L4" i="30"/>
  <c r="C54" i="1"/>
  <c r="V54" i="1" s="1"/>
  <c r="G25" i="1"/>
  <c r="G65" i="1" s="1"/>
  <c r="G23" i="4"/>
  <c r="G21" i="4" s="1"/>
  <c r="I24" i="1"/>
  <c r="I64" i="1" s="1"/>
  <c r="H26" i="1"/>
  <c r="G4" i="12"/>
  <c r="C4" i="14"/>
  <c r="H4" i="26"/>
  <c r="F25" i="1"/>
  <c r="F65" i="1" s="1"/>
  <c r="L4" i="24"/>
  <c r="D4" i="10"/>
  <c r="C4" i="15"/>
  <c r="G4" i="15"/>
  <c r="I12" i="1"/>
  <c r="I52" i="1" s="1"/>
  <c r="I25" i="1"/>
  <c r="I65" i="1" s="1"/>
  <c r="I32" i="1"/>
  <c r="I72" i="1" s="1"/>
  <c r="I6" i="14"/>
  <c r="I11" i="14"/>
  <c r="I6" i="5"/>
  <c r="J23" i="26"/>
  <c r="J4" i="17"/>
  <c r="J4" i="12"/>
  <c r="J25" i="1"/>
  <c r="J65" i="1" s="1"/>
  <c r="M6" i="17"/>
  <c r="N4" i="7"/>
  <c r="N4" i="12"/>
  <c r="N4" i="14"/>
  <c r="H4" i="27"/>
  <c r="E4" i="12"/>
  <c r="E24" i="1"/>
  <c r="E23" i="1" s="1"/>
  <c r="E63" i="1" s="1"/>
  <c r="N8" i="1"/>
  <c r="N48" i="1" s="1"/>
  <c r="N6" i="27"/>
  <c r="D23" i="31"/>
  <c r="D21" i="31" s="1"/>
  <c r="F23" i="15"/>
  <c r="F21" i="15" s="1"/>
  <c r="C4" i="25"/>
  <c r="H7" i="1"/>
  <c r="H47" i="1" s="1"/>
  <c r="G7" i="1"/>
  <c r="G6" i="1" s="1"/>
  <c r="G46" i="1" s="1"/>
  <c r="E7" i="1"/>
  <c r="E47" i="1" s="1"/>
  <c r="D4" i="14"/>
  <c r="H8" i="1"/>
  <c r="H48" i="1" s="1"/>
  <c r="G4" i="4"/>
  <c r="I4" i="25"/>
  <c r="K11" i="28"/>
  <c r="K4" i="28" s="1"/>
  <c r="M24" i="1"/>
  <c r="M64" i="1" s="1"/>
  <c r="M23" i="27"/>
  <c r="M21" i="27" s="1"/>
  <c r="N13" i="1"/>
  <c r="N53" i="1" s="1"/>
  <c r="N11" i="27"/>
  <c r="N9" i="1"/>
  <c r="N49" i="1" s="1"/>
  <c r="N6" i="22"/>
  <c r="N11" i="17"/>
  <c r="N4" i="17" s="1"/>
  <c r="H14" i="1"/>
  <c r="H54" i="1" s="1"/>
  <c r="H24" i="1"/>
  <c r="H64" i="1" s="1"/>
  <c r="D4" i="18"/>
  <c r="C24" i="1"/>
  <c r="V24" i="1" s="1"/>
  <c r="K4" i="30"/>
  <c r="L6" i="26"/>
  <c r="L6" i="9"/>
  <c r="D14" i="1"/>
  <c r="G14" i="1"/>
  <c r="G54" i="1" s="1"/>
  <c r="I4" i="28"/>
  <c r="I8" i="1"/>
  <c r="I48" i="1" s="1"/>
  <c r="I14" i="1"/>
  <c r="I54" i="1" s="1"/>
  <c r="I28" i="1"/>
  <c r="I68" i="1" s="1"/>
  <c r="K6" i="26"/>
  <c r="L9" i="1"/>
  <c r="L49" i="1" s="1"/>
  <c r="L4" i="15"/>
  <c r="L4" i="20"/>
  <c r="L11" i="9"/>
  <c r="D11" i="31"/>
  <c r="D4" i="31" s="1"/>
  <c r="M4" i="4"/>
  <c r="M4" i="28"/>
  <c r="M8" i="1"/>
  <c r="M48" i="1" s="1"/>
  <c r="M6" i="27"/>
  <c r="M4" i="27" s="1"/>
  <c r="M4" i="10"/>
  <c r="O4" i="29"/>
  <c r="O4" i="28"/>
  <c r="J9" i="1"/>
  <c r="J49" i="1" s="1"/>
  <c r="J28" i="1"/>
  <c r="J68" i="1" s="1"/>
  <c r="H18" i="1"/>
  <c r="H58" i="1" s="1"/>
  <c r="K32" i="1"/>
  <c r="K72" i="1" s="1"/>
  <c r="K4" i="7"/>
  <c r="K34" i="1"/>
  <c r="K74" i="1" s="1"/>
  <c r="L7" i="1"/>
  <c r="L47" i="1" s="1"/>
  <c r="L13" i="1"/>
  <c r="L53" i="1" s="1"/>
  <c r="L25" i="1"/>
  <c r="L65" i="1" s="1"/>
  <c r="L4" i="28"/>
  <c r="M25" i="1"/>
  <c r="M65" i="1" s="1"/>
  <c r="M4" i="14"/>
  <c r="N24" i="1"/>
  <c r="N64" i="1" s="1"/>
  <c r="N12" i="1"/>
  <c r="N52" i="1" s="1"/>
  <c r="O4" i="27"/>
  <c r="J4" i="8"/>
  <c r="J12" i="1"/>
  <c r="J52" i="1" s="1"/>
  <c r="J30" i="1"/>
  <c r="J70" i="1" s="1"/>
  <c r="K4" i="10"/>
  <c r="L8" i="1"/>
  <c r="L48" i="1" s="1"/>
  <c r="L14" i="1"/>
  <c r="M7" i="1"/>
  <c r="M47" i="1" s="1"/>
  <c r="M13" i="1"/>
  <c r="M53" i="1" s="1"/>
  <c r="N7" i="1"/>
  <c r="N47" i="1" s="1"/>
  <c r="N30" i="1"/>
  <c r="N70" i="1" s="1"/>
  <c r="O4" i="4"/>
  <c r="O4" i="21"/>
  <c r="O4" i="20"/>
  <c r="O4" i="16"/>
  <c r="O4" i="6"/>
  <c r="E23" i="18"/>
  <c r="E21" i="18" s="1"/>
  <c r="C23" i="18"/>
  <c r="C21" i="18" s="1"/>
  <c r="F6" i="18"/>
  <c r="F4" i="18" s="1"/>
  <c r="K4" i="18"/>
  <c r="N4" i="18"/>
  <c r="E4" i="18"/>
  <c r="C7" i="1"/>
  <c r="V7" i="1" s="1"/>
  <c r="O4" i="15"/>
  <c r="L24" i="1"/>
  <c r="L64" i="1" s="1"/>
  <c r="D4" i="24"/>
  <c r="H4" i="24"/>
  <c r="I4" i="24"/>
  <c r="J14" i="1"/>
  <c r="J54" i="1" s="1"/>
  <c r="C4" i="24"/>
  <c r="E4" i="24"/>
  <c r="J24" i="1"/>
  <c r="J64" i="1" s="1"/>
  <c r="J4" i="24"/>
  <c r="J7" i="1"/>
  <c r="J47" i="1" s="1"/>
  <c r="O4" i="8"/>
  <c r="O23" i="8"/>
  <c r="O21" i="8" s="1"/>
  <c r="O24" i="1"/>
  <c r="O64" i="1" s="1"/>
  <c r="O4" i="10"/>
  <c r="O4" i="12"/>
  <c r="I7" i="1"/>
  <c r="I47" i="1" s="1"/>
  <c r="G24" i="1"/>
  <c r="G64" i="1" s="1"/>
  <c r="I9" i="1"/>
  <c r="I49" i="1" s="1"/>
  <c r="I30" i="1"/>
  <c r="I70" i="1" s="1"/>
  <c r="K7" i="1"/>
  <c r="F24" i="1"/>
  <c r="D24" i="1"/>
  <c r="D7" i="1"/>
  <c r="I13" i="1"/>
  <c r="I53" i="1" s="1"/>
  <c r="I26" i="1"/>
  <c r="I66" i="1" s="1"/>
  <c r="O6" i="14"/>
  <c r="O4" i="14" s="1"/>
  <c r="O7" i="1"/>
  <c r="O6" i="1" s="1"/>
  <c r="O46" i="1" s="1"/>
  <c r="I6" i="18"/>
  <c r="J6" i="18"/>
  <c r="J11" i="18"/>
  <c r="L6" i="18"/>
  <c r="J23" i="18"/>
  <c r="J21" i="18" s="1"/>
  <c r="H23" i="18"/>
  <c r="H21" i="18" s="1"/>
  <c r="C6" i="18"/>
  <c r="C4" i="18" s="1"/>
  <c r="H6" i="18"/>
  <c r="H4" i="18" s="1"/>
  <c r="K24" i="1"/>
  <c r="L11" i="18"/>
  <c r="I11" i="18"/>
  <c r="G6" i="18"/>
  <c r="G4" i="18" s="1"/>
  <c r="I23" i="18"/>
  <c r="I21" i="18" s="1"/>
  <c r="L23" i="18"/>
  <c r="L21" i="18" s="1"/>
  <c r="J6" i="28"/>
  <c r="J4" i="28" s="1"/>
  <c r="J23" i="28"/>
  <c r="J21" i="28" s="1"/>
  <c r="H53" i="1"/>
  <c r="D53" i="1"/>
  <c r="O11" i="1"/>
  <c r="C56" i="1"/>
  <c r="V56" i="1" s="1"/>
  <c r="O74" i="1"/>
  <c r="O4" i="22"/>
  <c r="O4" i="25"/>
  <c r="O4" i="5"/>
  <c r="O65" i="1"/>
  <c r="M4" i="5"/>
  <c r="L4" i="26" l="1"/>
  <c r="E34" i="7"/>
  <c r="E21" i="7" s="1"/>
  <c r="I34" i="7"/>
  <c r="I21" i="7" s="1"/>
  <c r="F34" i="7"/>
  <c r="F21" i="7" s="1"/>
  <c r="G34" i="7"/>
  <c r="G34" i="1" s="1"/>
  <c r="G74" i="1" s="1"/>
  <c r="C34" i="7"/>
  <c r="C21" i="7" s="1"/>
  <c r="H34" i="7"/>
  <c r="H34" i="1" s="1"/>
  <c r="H74" i="1" s="1"/>
  <c r="D34" i="7"/>
  <c r="D34" i="1" s="1"/>
  <c r="D74" i="1" s="1"/>
  <c r="I4" i="26"/>
  <c r="K6" i="1"/>
  <c r="K46" i="1" s="1"/>
  <c r="K4" i="26"/>
  <c r="N4" i="22"/>
  <c r="N4" i="27"/>
  <c r="M4" i="17"/>
  <c r="E11" i="1"/>
  <c r="E51" i="1" s="1"/>
  <c r="I4" i="5"/>
  <c r="C48" i="1"/>
  <c r="V48" i="1" s="1"/>
  <c r="F11" i="1"/>
  <c r="F51" i="1" s="1"/>
  <c r="C51" i="1"/>
  <c r="V51" i="1" s="1"/>
  <c r="K54" i="1"/>
  <c r="J34" i="1"/>
  <c r="J74" i="1" s="1"/>
  <c r="J21" i="7"/>
  <c r="C23" i="1"/>
  <c r="V23" i="1" s="1"/>
  <c r="D21" i="7"/>
  <c r="F47" i="1"/>
  <c r="G47" i="1"/>
  <c r="H6" i="1"/>
  <c r="H46" i="1" s="1"/>
  <c r="E64" i="1"/>
  <c r="L11" i="1"/>
  <c r="L51" i="1" s="1"/>
  <c r="N11" i="1"/>
  <c r="N51" i="1" s="1"/>
  <c r="M11" i="1"/>
  <c r="M51" i="1" s="1"/>
  <c r="M23" i="1"/>
  <c r="M63" i="1" s="1"/>
  <c r="J23" i="1"/>
  <c r="J63" i="1" s="1"/>
  <c r="L54" i="1"/>
  <c r="E6" i="1"/>
  <c r="C6" i="1"/>
  <c r="V6" i="1" s="1"/>
  <c r="H23" i="1"/>
  <c r="H63" i="1" s="1"/>
  <c r="N6" i="1"/>
  <c r="N46" i="1" s="1"/>
  <c r="L6" i="1"/>
  <c r="L46" i="1" s="1"/>
  <c r="L4" i="9"/>
  <c r="C64" i="1"/>
  <c r="V64" i="1" s="1"/>
  <c r="G23" i="1"/>
  <c r="G63" i="1" s="1"/>
  <c r="D54" i="1"/>
  <c r="D11" i="1"/>
  <c r="D51" i="1" s="1"/>
  <c r="I4" i="14"/>
  <c r="N23" i="1"/>
  <c r="N63" i="1" s="1"/>
  <c r="M6" i="1"/>
  <c r="M46" i="1" s="1"/>
  <c r="G11" i="1"/>
  <c r="G51" i="1" s="1"/>
  <c r="H66" i="1"/>
  <c r="H11" i="1"/>
  <c r="H51" i="1" s="1"/>
  <c r="C47" i="1"/>
  <c r="V47" i="1" s="1"/>
  <c r="I4" i="18"/>
  <c r="L23" i="1"/>
  <c r="L21" i="1" s="1"/>
  <c r="L61" i="1" s="1"/>
  <c r="G21" i="7"/>
  <c r="E34" i="1"/>
  <c r="O23" i="1"/>
  <c r="O63" i="1" s="1"/>
  <c r="J6" i="1"/>
  <c r="J46" i="1" s="1"/>
  <c r="K47" i="1"/>
  <c r="J11" i="1"/>
  <c r="J51" i="1" s="1"/>
  <c r="F23" i="1"/>
  <c r="F64" i="1"/>
  <c r="I6" i="1"/>
  <c r="I46" i="1" s="1"/>
  <c r="D47" i="1"/>
  <c r="D6" i="1"/>
  <c r="I11" i="1"/>
  <c r="I51" i="1" s="1"/>
  <c r="D64" i="1"/>
  <c r="D23" i="1"/>
  <c r="I23" i="1"/>
  <c r="O47" i="1"/>
  <c r="K64" i="1"/>
  <c r="K23" i="1"/>
  <c r="J4" i="18"/>
  <c r="L4" i="18"/>
  <c r="O4" i="1"/>
  <c r="O51" i="1"/>
  <c r="K4" i="1" l="1"/>
  <c r="K44" i="1" s="1"/>
  <c r="I34" i="1"/>
  <c r="I74" i="1" s="1"/>
  <c r="C34" i="1"/>
  <c r="V34" i="1" s="1"/>
  <c r="H21" i="7"/>
  <c r="F34" i="1"/>
  <c r="F74" i="1" s="1"/>
  <c r="E4" i="1"/>
  <c r="E44" i="1" s="1"/>
  <c r="F4" i="1"/>
  <c r="F44" i="1" s="1"/>
  <c r="C63" i="1"/>
  <c r="V63" i="1" s="1"/>
  <c r="J21" i="1"/>
  <c r="J61" i="1" s="1"/>
  <c r="C4" i="1"/>
  <c r="V4" i="1" s="1"/>
  <c r="H21" i="1"/>
  <c r="H61" i="1" s="1"/>
  <c r="N21" i="1"/>
  <c r="N61" i="1" s="1"/>
  <c r="M21" i="1"/>
  <c r="M61" i="1" s="1"/>
  <c r="L4" i="1"/>
  <c r="L44" i="1" s="1"/>
  <c r="E46" i="1"/>
  <c r="N4" i="1"/>
  <c r="G4" i="1"/>
  <c r="G44" i="1" s="1"/>
  <c r="M4" i="1"/>
  <c r="M44" i="1" s="1"/>
  <c r="H4" i="1"/>
  <c r="H44" i="1" s="1"/>
  <c r="C46" i="1"/>
  <c r="V46" i="1" s="1"/>
  <c r="O21" i="1"/>
  <c r="O61" i="1" s="1"/>
  <c r="L63" i="1"/>
  <c r="G21" i="1"/>
  <c r="G61" i="1" s="1"/>
  <c r="E74" i="1"/>
  <c r="E21" i="1"/>
  <c r="E61" i="1" s="1"/>
  <c r="J4" i="1"/>
  <c r="I4" i="1"/>
  <c r="I44" i="1" s="1"/>
  <c r="I63" i="1"/>
  <c r="D46" i="1"/>
  <c r="D4" i="1"/>
  <c r="D21" i="1"/>
  <c r="D61" i="1" s="1"/>
  <c r="D63" i="1"/>
  <c r="F63" i="1"/>
  <c r="K21" i="1"/>
  <c r="K63" i="1"/>
  <c r="O44" i="1"/>
  <c r="I21" i="1" l="1"/>
  <c r="I61" i="1" s="1"/>
  <c r="C21" i="1"/>
  <c r="V21" i="1" s="1"/>
  <c r="C74" i="1"/>
  <c r="V74" i="1" s="1"/>
  <c r="F21" i="1"/>
  <c r="F61" i="1" s="1"/>
  <c r="C44" i="1"/>
  <c r="V44" i="1" s="1"/>
  <c r="N44" i="1"/>
  <c r="J44" i="1"/>
  <c r="D44" i="1"/>
  <c r="K61" i="1"/>
  <c r="C61" i="1" l="1"/>
  <c r="V61" i="1" s="1"/>
  <c r="P11" i="9"/>
  <c r="Q6" i="9"/>
  <c r="Q11" i="16"/>
  <c r="Q6" i="16"/>
  <c r="Q4" i="16" s="1"/>
  <c r="P9" i="1"/>
  <c r="P49" i="1" s="1"/>
  <c r="P6" i="20" l="1"/>
  <c r="P4" i="20" s="1"/>
  <c r="Q11" i="9"/>
  <c r="Q4" i="9" s="1"/>
  <c r="P6" i="9"/>
  <c r="P4" i="9" s="1"/>
  <c r="Q6" i="26"/>
  <c r="Q11" i="26"/>
  <c r="Q4" i="26" l="1"/>
  <c r="S6" i="9"/>
  <c r="S7" i="1"/>
  <c r="S11" i="9"/>
  <c r="S12" i="1"/>
  <c r="P6" i="26"/>
  <c r="P11" i="26"/>
  <c r="P4" i="26" l="1"/>
  <c r="S4" i="9"/>
  <c r="S52" i="1"/>
  <c r="S11" i="1"/>
  <c r="S51" i="1" s="1"/>
  <c r="S47" i="1"/>
  <c r="S6" i="1"/>
  <c r="S46" i="1" l="1"/>
  <c r="S4" i="1"/>
  <c r="S44" i="1" l="1"/>
  <c r="Q6" i="17" l="1"/>
  <c r="Q11" i="17"/>
  <c r="Q12" i="1"/>
  <c r="P6" i="17"/>
  <c r="P7" i="1"/>
  <c r="Q21" i="17"/>
  <c r="Q32" i="1"/>
  <c r="P47" i="1" l="1"/>
  <c r="P6" i="1"/>
  <c r="Q4" i="17"/>
  <c r="Q72" i="1"/>
  <c r="Q21" i="1"/>
  <c r="Q61" i="1" s="1"/>
  <c r="P11" i="17"/>
  <c r="P4" i="17" s="1"/>
  <c r="P12" i="1"/>
  <c r="Q11" i="1"/>
  <c r="Q51" i="1" s="1"/>
  <c r="Q52" i="1"/>
  <c r="P52" i="1" l="1"/>
  <c r="P11" i="1"/>
  <c r="P51" i="1" s="1"/>
  <c r="P46" i="1"/>
  <c r="P4" i="1" l="1"/>
  <c r="P44" i="1" l="1"/>
  <c r="Q6" i="6" l="1"/>
  <c r="Q4" i="6" s="1"/>
  <c r="Q7" i="1"/>
  <c r="Q6" i="1" l="1"/>
  <c r="Q47" i="1"/>
  <c r="Q4" i="1" l="1"/>
  <c r="Q46" i="1"/>
  <c r="Q44" i="1" l="1"/>
</calcChain>
</file>

<file path=xl/comments1.xml><?xml version="1.0" encoding="utf-8"?>
<comments xmlns="http://schemas.openxmlformats.org/spreadsheetml/2006/main">
  <authors>
    <author>Fischer Rudolf</author>
  </authors>
  <commentList>
    <comment ref="V1" authorId="0">
      <text>
        <r>
          <rPr>
            <b/>
            <sz val="9"/>
            <color indexed="81"/>
            <rFont val="Tahoma"/>
            <family val="2"/>
          </rPr>
          <t>Fischer Rudolf:</t>
        </r>
        <r>
          <rPr>
            <sz val="9"/>
            <color indexed="81"/>
            <rFont val="Tahoma"/>
            <family val="2"/>
          </rPr>
          <t xml:space="preserve">
Formel im Index anpassen durch Suchen/Ersetzten
"100*Q" durch "100*R", sonst wird der Stern falsch interpretiert</t>
        </r>
      </text>
    </comment>
  </commentList>
</comments>
</file>

<file path=xl/comments10.xml><?xml version="1.0" encoding="utf-8"?>
<comments xmlns="http://schemas.openxmlformats.org/spreadsheetml/2006/main">
  <authors>
    <author>b150pcm</author>
    <author>B150pcm</author>
  </authors>
  <commentList>
    <comment ref="H34" authorId="0">
      <text>
        <r>
          <rPr>
            <b/>
            <sz val="8"/>
            <color indexed="81"/>
            <rFont val="Tahoma"/>
            <family val="2"/>
          </rPr>
          <t>b150pcm:</t>
        </r>
        <r>
          <rPr>
            <sz val="8"/>
            <color indexed="81"/>
            <rFont val="Tahoma"/>
            <family val="2"/>
          </rPr>
          <t xml:space="preserve">
Position 27 Reserven Gold SNB von 150 Mio. Fr. zu EK geschlagen
MC</t>
        </r>
      </text>
    </comment>
    <comment ref="I34" authorId="1">
      <text>
        <r>
          <rPr>
            <b/>
            <sz val="8"/>
            <color indexed="81"/>
            <rFont val="Tahoma"/>
            <family val="2"/>
          </rPr>
          <t>B150pcm:</t>
        </r>
        <r>
          <rPr>
            <sz val="8"/>
            <color indexed="81"/>
            <rFont val="Tahoma"/>
            <family val="2"/>
          </rPr>
          <t xml:space="preserve">
Position 27 Reserven Gold SNB von 150 Mio. Fr. zu EK geschlagen
MC</t>
        </r>
      </text>
    </comment>
    <comment ref="J34" authorId="1">
      <text>
        <r>
          <rPr>
            <b/>
            <sz val="8"/>
            <color indexed="81"/>
            <rFont val="Tahoma"/>
            <family val="2"/>
          </rPr>
          <t>B150pcm:</t>
        </r>
        <r>
          <rPr>
            <sz val="8"/>
            <color indexed="81"/>
            <rFont val="Tahoma"/>
            <family val="2"/>
          </rPr>
          <t xml:space="preserve">
Position 27 Reserven Gold SNB von 150 Mio. Fr. zu EK geschlagen
MC</t>
        </r>
      </text>
    </comment>
  </commentList>
</comments>
</file>

<file path=xl/comments2.xml><?xml version="1.0" encoding="utf-8"?>
<comments xmlns="http://schemas.openxmlformats.org/spreadsheetml/2006/main">
  <authors>
    <author>b150pcm</author>
  </authors>
  <commentList>
    <comment ref="K34" authorId="0">
      <text>
        <r>
          <rPr>
            <b/>
            <sz val="8"/>
            <color indexed="81"/>
            <rFont val="Tahoma"/>
            <family val="2"/>
          </rPr>
          <t>b150pcm:</t>
        </r>
        <r>
          <rPr>
            <sz val="8"/>
            <color indexed="81"/>
            <rFont val="Tahoma"/>
            <family val="2"/>
          </rPr>
          <t xml:space="preserve">
inkl. Reserven von 203'672</t>
        </r>
      </text>
    </comment>
    <comment ref="L34" authorId="0">
      <text>
        <r>
          <rPr>
            <b/>
            <sz val="8"/>
            <color indexed="81"/>
            <rFont val="Tahoma"/>
            <family val="2"/>
          </rPr>
          <t>b150pcm:</t>
        </r>
        <r>
          <rPr>
            <sz val="8"/>
            <color indexed="81"/>
            <rFont val="Tahoma"/>
            <family val="2"/>
          </rPr>
          <t xml:space="preserve">
inkl. Reserven von 203'672</t>
        </r>
      </text>
    </comment>
  </commentList>
</comments>
</file>

<file path=xl/comments3.xml><?xml version="1.0" encoding="utf-8"?>
<comments xmlns="http://schemas.openxmlformats.org/spreadsheetml/2006/main">
  <authors>
    <author>B150pcm</author>
    <author>SIEN</author>
    <author>b150pcm</author>
  </authors>
  <commentList>
    <comment ref="I4" authorId="0">
      <text>
        <r>
          <rPr>
            <b/>
            <sz val="8"/>
            <color indexed="81"/>
            <rFont val="Tahoma"/>
            <family val="2"/>
          </rPr>
          <t>B150pcm:</t>
        </r>
        <r>
          <rPr>
            <sz val="8"/>
            <color indexed="81"/>
            <rFont val="Tahoma"/>
            <family val="2"/>
          </rPr>
          <t xml:space="preserve">
Pour l'année 2006, les montants à l'actif et au passif du bilan sont calculés après la mise en œuvre du principe d'échéance (excédent de revenus de Fr. 8'472'999.60).</t>
        </r>
      </text>
    </comment>
    <comment ref="H18" authorId="0">
      <text>
        <r>
          <rPr>
            <b/>
            <sz val="8"/>
            <color indexed="81"/>
            <rFont val="Tahoma"/>
            <family val="2"/>
          </rPr>
          <t>B150pcm:</t>
        </r>
        <r>
          <rPr>
            <sz val="8"/>
            <color indexed="81"/>
            <rFont val="Tahoma"/>
            <family val="2"/>
          </rPr>
          <t xml:space="preserve">
Par rapport à la publication des comptes 2005, une augmentation des passifs transitoires de Fr. 2'800'000.--, selon décret du Grand Conseil du 26.04.2006.</t>
        </r>
      </text>
    </comment>
    <comment ref="O18" authorId="1">
      <text>
        <r>
          <rPr>
            <b/>
            <sz val="9"/>
            <color indexed="81"/>
            <rFont val="Tahoma"/>
            <family val="2"/>
          </rPr>
          <t>SFIN NE</t>
        </r>
        <r>
          <rPr>
            <sz val="9"/>
            <color indexed="81"/>
            <rFont val="Tahoma"/>
            <family val="2"/>
          </rPr>
          <t xml:space="preserve">
Par rapport à la publication des comptes 2012, augmentation du découvert de Fr. 40'000.--, selon décret du Grand Conseil du 09.04.2013.</t>
        </r>
      </text>
    </comment>
    <comment ref="I21" authorId="0">
      <text>
        <r>
          <rPr>
            <b/>
            <sz val="8"/>
            <color indexed="81"/>
            <rFont val="Tahoma"/>
            <family val="2"/>
          </rPr>
          <t>B150pcm:</t>
        </r>
        <r>
          <rPr>
            <sz val="8"/>
            <color indexed="81"/>
            <rFont val="Tahoma"/>
            <family val="2"/>
          </rPr>
          <t xml:space="preserve">
Pour l'année 2006, les montants à l'actif et au passif du bilan sont calculés après la mise en œuvre du principe d'échéance (excédent de revenus de Fr. 8'472'999.60).</t>
        </r>
      </text>
    </comment>
    <comment ref="H26" authorId="0">
      <text>
        <r>
          <rPr>
            <b/>
            <sz val="8"/>
            <color indexed="81"/>
            <rFont val="Tahoma"/>
            <family val="2"/>
          </rPr>
          <t>B150pcm:</t>
        </r>
        <r>
          <rPr>
            <sz val="8"/>
            <color indexed="81"/>
            <rFont val="Tahoma"/>
            <family val="2"/>
          </rPr>
          <t xml:space="preserve">
Par rapport à la publication des comptes 2005, une augmentation des passifs transitoires de Fr. 2'800'000.--, selon décret du Grand Conseil du 26.04.2006.</t>
        </r>
      </text>
    </comment>
    <comment ref="J26" authorId="0">
      <text>
        <r>
          <rPr>
            <b/>
            <sz val="8"/>
            <color indexed="81"/>
            <rFont val="Tahoma"/>
            <family val="2"/>
          </rPr>
          <t>B150pcm:</t>
        </r>
        <r>
          <rPr>
            <sz val="8"/>
            <color indexed="81"/>
            <rFont val="Tahoma"/>
            <family val="2"/>
          </rPr>
          <t xml:space="preserve">
Par rapport à la publication des comptes 2007, une augmentation des passifs transitoires de Fr. 7'485'514.--, selon décret du Grand Conseil du 30.04.2008.</t>
        </r>
      </text>
    </comment>
    <comment ref="O30" authorId="1">
      <text>
        <r>
          <rPr>
            <b/>
            <sz val="9"/>
            <color indexed="81"/>
            <rFont val="Tahoma"/>
            <family val="2"/>
          </rPr>
          <t xml:space="preserve">SFIN NE
</t>
        </r>
        <r>
          <rPr>
            <sz val="9"/>
            <color indexed="81"/>
            <rFont val="Tahoma"/>
            <family val="2"/>
          </rPr>
          <t>Par rapport à la publication des comptes 2012, augmentation des provisions de Fr. 340'000.--, selon décret du Grand Conseil du 09.04.2013.</t>
        </r>
        <r>
          <rPr>
            <sz val="9"/>
            <color indexed="81"/>
            <rFont val="Tahoma"/>
            <family val="2"/>
          </rPr>
          <t xml:space="preserve">
</t>
        </r>
      </text>
    </comment>
    <comment ref="K32" authorId="2">
      <text>
        <r>
          <rPr>
            <b/>
            <sz val="8"/>
            <color indexed="81"/>
            <rFont val="Tahoma"/>
            <family val="2"/>
          </rPr>
          <t>b150pcm:</t>
        </r>
        <r>
          <rPr>
            <sz val="8"/>
            <color indexed="81"/>
            <rFont val="Tahoma"/>
            <family val="2"/>
          </rPr>
          <t xml:space="preserve">
Par rapport à la publication des comptes 2008, une augmentation des engagements spéciaux de Fr. 600'000.--, selon décret du Grand Conseil du 31.04.2009.</t>
        </r>
      </text>
    </comment>
    <comment ref="O32" authorId="1">
      <text>
        <r>
          <rPr>
            <b/>
            <sz val="9"/>
            <color indexed="81"/>
            <rFont val="Tahoma"/>
            <family val="2"/>
          </rPr>
          <t xml:space="preserve">SFIN NE
</t>
        </r>
        <r>
          <rPr>
            <sz val="9"/>
            <color indexed="81"/>
            <rFont val="Tahoma"/>
            <family val="2"/>
          </rPr>
          <t xml:space="preserve">Par rapport à la publication des comptes 2012, diminution des engagements de Fr. 300'000.--, selon décret du Grand Conseil du 09.04.2013.
</t>
        </r>
      </text>
    </comment>
  </commentList>
</comments>
</file>

<file path=xl/comments4.xml><?xml version="1.0" encoding="utf-8"?>
<comments xmlns="http://schemas.openxmlformats.org/spreadsheetml/2006/main">
  <authors>
    <author>B150pcm</author>
  </authors>
  <commentList>
    <comment ref="H34" authorId="0">
      <text>
        <r>
          <rPr>
            <b/>
            <sz val="8"/>
            <color indexed="81"/>
            <rFont val="Tahoma"/>
            <family val="2"/>
          </rPr>
          <t>B150pcm:</t>
        </r>
        <r>
          <rPr>
            <sz val="8"/>
            <color indexed="81"/>
            <rFont val="Tahoma"/>
            <family val="2"/>
          </rPr>
          <t xml:space="preserve">
Rechnung 2005:
Golderlös 32'125 direkt im EK gebucht</t>
        </r>
      </text>
    </comment>
  </commentList>
</comments>
</file>

<file path=xl/comments5.xml><?xml version="1.0" encoding="utf-8"?>
<comments xmlns="http://schemas.openxmlformats.org/spreadsheetml/2006/main">
  <authors>
    <author>B150pcm</author>
  </authors>
  <commentList>
    <comment ref="J12" authorId="0">
      <text>
        <r>
          <rPr>
            <b/>
            <sz val="8"/>
            <color indexed="81"/>
            <rFont val="Tahoma"/>
            <family val="2"/>
          </rPr>
          <t>B150pcm:</t>
        </r>
        <r>
          <rPr>
            <sz val="8"/>
            <color indexed="81"/>
            <rFont val="Tahoma"/>
            <family val="2"/>
          </rPr>
          <t xml:space="preserve">
Abschreibung Nationalstrasse um 
CHF 131,7 Mio. Die Verbuchung erfolgte über den Bilanzfehlbetrag.</t>
        </r>
      </text>
    </comment>
    <comment ref="H18" authorId="0">
      <text>
        <r>
          <rPr>
            <b/>
            <sz val="8"/>
            <color indexed="81"/>
            <rFont val="Tahoma"/>
            <family val="2"/>
          </rPr>
          <t>B150pcm:</t>
        </r>
        <r>
          <rPr>
            <sz val="8"/>
            <color indexed="81"/>
            <rFont val="Tahoma"/>
            <family val="2"/>
          </rPr>
          <t xml:space="preserve">
Rechnung 2005: Fr. 2'353'412'000 Golderlös direkt im Bilanzvehlbetrag gebucht</t>
        </r>
      </text>
    </comment>
    <comment ref="J18" authorId="0">
      <text>
        <r>
          <rPr>
            <b/>
            <sz val="8"/>
            <color indexed="81"/>
            <rFont val="Tahoma"/>
            <family val="2"/>
          </rPr>
          <t>B150pcm:</t>
        </r>
        <r>
          <rPr>
            <sz val="8"/>
            <color indexed="81"/>
            <rFont val="Tahoma"/>
            <family val="2"/>
          </rPr>
          <t xml:space="preserve">
Davon Erhöhung des Bilanzfehlbetrags aufgrund nicht erfolgswirksamen NFA-Transaktionen (CHF 479,6 Mio.); vgl. Beilage.</t>
        </r>
      </text>
    </comment>
    <comment ref="J30" authorId="0">
      <text>
        <r>
          <rPr>
            <b/>
            <sz val="8"/>
            <color indexed="81"/>
            <rFont val="Tahoma"/>
            <family val="2"/>
          </rPr>
          <t>B150pcm:</t>
        </r>
        <r>
          <rPr>
            <sz val="8"/>
            <color indexed="81"/>
            <rFont val="Tahoma"/>
            <family val="2"/>
          </rPr>
          <t xml:space="preserve">
CHF 594,2 Mio. Rückstellungen für Nationalstrassen im Bau2)</t>
        </r>
      </text>
    </comment>
  </commentList>
</comments>
</file>

<file path=xl/comments6.xml><?xml version="1.0" encoding="utf-8"?>
<comments xmlns="http://schemas.openxmlformats.org/spreadsheetml/2006/main">
  <authors>
    <author>B150pcm</author>
  </authors>
  <commentList>
    <comment ref="I7" authorId="0">
      <text>
        <r>
          <rPr>
            <b/>
            <sz val="8"/>
            <color indexed="81"/>
            <rFont val="Tahoma"/>
            <family val="2"/>
          </rPr>
          <t>B150pcm:</t>
        </r>
        <r>
          <rPr>
            <sz val="8"/>
            <color indexed="81"/>
            <rFont val="Tahoma"/>
            <family val="2"/>
          </rPr>
          <t xml:space="preserve">
**) Verrechnung der Steuervorauszahlungen mit den provisorischen Steuerdebitoren von Fr. 1'165'059'000.--</t>
        </r>
      </text>
    </comment>
    <comment ref="D9" authorId="0">
      <text>
        <r>
          <rPr>
            <b/>
            <sz val="8"/>
            <color indexed="81"/>
            <rFont val="Tahoma"/>
            <family val="2"/>
          </rPr>
          <t>B150pcm:</t>
        </r>
        <r>
          <rPr>
            <sz val="8"/>
            <color indexed="81"/>
            <rFont val="Tahoma"/>
            <family val="2"/>
          </rPr>
          <t xml:space="preserve">
*) periodengerechte Steuerabgrenzungen im Umfang von 678'500'00 Fr. in R2001.</t>
        </r>
      </text>
    </comment>
    <comment ref="E9" authorId="0">
      <text>
        <r>
          <rPr>
            <b/>
            <sz val="8"/>
            <color indexed="81"/>
            <rFont val="Tahoma"/>
            <family val="2"/>
          </rPr>
          <t>B150pcm:</t>
        </r>
        <r>
          <rPr>
            <sz val="8"/>
            <color indexed="81"/>
            <rFont val="Tahoma"/>
            <family val="2"/>
          </rPr>
          <t xml:space="preserve">
*) periodengerechte Steuerabgrenzungen im Umfang von 913'000'000 Fr. in R2002.</t>
        </r>
      </text>
    </comment>
    <comment ref="F9" authorId="0">
      <text>
        <r>
          <rPr>
            <b/>
            <sz val="8"/>
            <color indexed="81"/>
            <rFont val="Tahoma"/>
            <family val="2"/>
          </rPr>
          <t>B150pcm:</t>
        </r>
        <r>
          <rPr>
            <sz val="8"/>
            <color indexed="81"/>
            <rFont val="Tahoma"/>
            <family val="2"/>
          </rPr>
          <t xml:space="preserve">
*) periodengerechte Steuerabgrenzungen im Umfang von 1'043'500'000 Fr. in R2003.</t>
        </r>
      </text>
    </comment>
    <comment ref="G9" authorId="0">
      <text>
        <r>
          <rPr>
            <b/>
            <sz val="8"/>
            <color indexed="81"/>
            <rFont val="Tahoma"/>
            <family val="2"/>
          </rPr>
          <t>B150pcm:</t>
        </r>
        <r>
          <rPr>
            <sz val="8"/>
            <color indexed="81"/>
            <rFont val="Tahoma"/>
            <family val="2"/>
          </rPr>
          <t xml:space="preserve">
*) periodengerechte Steuerabgrenzungen im Umfang von 1'100'900'000 Fr. in R2004.</t>
        </r>
      </text>
    </comment>
    <comment ref="D24" authorId="0">
      <text>
        <r>
          <rPr>
            <b/>
            <sz val="8"/>
            <color indexed="81"/>
            <rFont val="Tahoma"/>
            <family val="2"/>
          </rPr>
          <t>B150pcm:</t>
        </r>
        <r>
          <rPr>
            <sz val="8"/>
            <color indexed="81"/>
            <rFont val="Tahoma"/>
            <family val="2"/>
          </rPr>
          <t xml:space="preserve">
*) periodengerechte Steuerabgrenzungen im Umfang von 678'500'00 Fr. in R2001.</t>
        </r>
      </text>
    </comment>
    <comment ref="E24" authorId="0">
      <text>
        <r>
          <rPr>
            <b/>
            <sz val="8"/>
            <color indexed="81"/>
            <rFont val="Tahoma"/>
            <family val="2"/>
          </rPr>
          <t>B150pcm:</t>
        </r>
        <r>
          <rPr>
            <sz val="8"/>
            <color indexed="81"/>
            <rFont val="Tahoma"/>
            <family val="2"/>
          </rPr>
          <t xml:space="preserve">
*) periodengerechte Steuerabgrenzungen im Umfang von 913'000'000 Fr. in R2002.</t>
        </r>
      </text>
    </comment>
    <comment ref="F24" authorId="0">
      <text>
        <r>
          <rPr>
            <b/>
            <sz val="8"/>
            <color indexed="81"/>
            <rFont val="Tahoma"/>
            <family val="2"/>
          </rPr>
          <t>B150pcm:</t>
        </r>
        <r>
          <rPr>
            <sz val="8"/>
            <color indexed="81"/>
            <rFont val="Tahoma"/>
            <family val="2"/>
          </rPr>
          <t xml:space="preserve">
*) periodengerechte Steuerabgrenzungen im Umfang von 1'043'500'000 Fr. in R2003.</t>
        </r>
      </text>
    </comment>
    <comment ref="G24" authorId="0">
      <text>
        <r>
          <rPr>
            <b/>
            <sz val="8"/>
            <color indexed="81"/>
            <rFont val="Tahoma"/>
            <family val="2"/>
          </rPr>
          <t>B150pcm:</t>
        </r>
        <r>
          <rPr>
            <sz val="8"/>
            <color indexed="81"/>
            <rFont val="Tahoma"/>
            <family val="2"/>
          </rPr>
          <t xml:space="preserve">
*) periodengerechte Steuerabgrenzungen im Umfang von 1'100'900'000 Fr. in R2004.</t>
        </r>
      </text>
    </comment>
    <comment ref="I24" authorId="0">
      <text>
        <r>
          <rPr>
            <b/>
            <sz val="8"/>
            <color indexed="81"/>
            <rFont val="Tahoma"/>
            <family val="2"/>
          </rPr>
          <t>B150pcm:</t>
        </r>
        <r>
          <rPr>
            <sz val="8"/>
            <color indexed="81"/>
            <rFont val="Tahoma"/>
            <family val="2"/>
          </rPr>
          <t xml:space="preserve">
**) Verrechnung der Steuervorauszahlungen mit den provisorischen Steuerdebitoren von Fr. 1'165'059'000.--</t>
        </r>
      </text>
    </comment>
  </commentList>
</comments>
</file>

<file path=xl/comments7.xml><?xml version="1.0" encoding="utf-8"?>
<comments xmlns="http://schemas.openxmlformats.org/spreadsheetml/2006/main">
  <authors>
    <author>B150pcm</author>
  </authors>
  <commentList>
    <comment ref="I34" authorId="0">
      <text>
        <r>
          <rPr>
            <b/>
            <sz val="8"/>
            <color indexed="81"/>
            <rFont val="Tahoma"/>
            <family val="2"/>
          </rPr>
          <t>B150pcm:</t>
        </r>
        <r>
          <rPr>
            <sz val="8"/>
            <color indexed="81"/>
            <rFont val="Tahoma"/>
            <family val="2"/>
          </rPr>
          <t xml:space="preserve">
davon aus a.o. Erträgen für besondere Projekte reserviert: Fr. -235755
freies Eigenkapital: Fr. 236846</t>
        </r>
      </text>
    </comment>
    <comment ref="J34" authorId="0">
      <text>
        <r>
          <rPr>
            <b/>
            <sz val="8"/>
            <color indexed="81"/>
            <rFont val="Tahoma"/>
            <family val="2"/>
          </rPr>
          <t>B150pcm:</t>
        </r>
        <r>
          <rPr>
            <sz val="8"/>
            <color indexed="81"/>
            <rFont val="Tahoma"/>
            <family val="2"/>
          </rPr>
          <t xml:space="preserve">
davon aus a.o. Erträgen für besondere Projekte reserviert: Fr. -179365
freies Eigenkapital: Fr. 343320</t>
        </r>
      </text>
    </comment>
  </commentList>
</comments>
</file>

<file path=xl/comments8.xml><?xml version="1.0" encoding="utf-8"?>
<comments xmlns="http://schemas.openxmlformats.org/spreadsheetml/2006/main">
  <authors>
    <author>b150pcm</author>
  </authors>
  <commentList>
    <comment ref="M14" authorId="0">
      <text>
        <r>
          <rPr>
            <b/>
            <sz val="10"/>
            <color indexed="81"/>
            <rFont val="Tahoma"/>
            <family val="2"/>
          </rPr>
          <t>b150pcm:</t>
        </r>
        <r>
          <rPr>
            <sz val="10"/>
            <color indexed="81"/>
            <rFont val="Tahoma"/>
            <family val="2"/>
          </rPr>
          <t xml:space="preserve">
Investitionsbeiträge: 97'672
kum. Zusätzliche Abschreibungen: -226'773</t>
        </r>
      </text>
    </comment>
    <comment ref="N14" authorId="0">
      <text>
        <r>
          <rPr>
            <b/>
            <sz val="10"/>
            <color indexed="81"/>
            <rFont val="Tahoma"/>
            <family val="2"/>
          </rPr>
          <t>b150pcm:</t>
        </r>
        <r>
          <rPr>
            <sz val="10"/>
            <color indexed="81"/>
            <rFont val="Tahoma"/>
            <family val="2"/>
          </rPr>
          <t xml:space="preserve">
Invest.-Beiträge: 102'179
kum. Abschreib. -199'754
</t>
        </r>
      </text>
    </comment>
  </commentList>
</comments>
</file>

<file path=xl/comments9.xml><?xml version="1.0" encoding="utf-8"?>
<comments xmlns="http://schemas.openxmlformats.org/spreadsheetml/2006/main">
  <authors>
    <author>Finanzverwaltung</author>
  </authors>
  <commentList>
    <comment ref="J12" authorId="0">
      <text>
        <r>
          <rPr>
            <b/>
            <sz val="8"/>
            <color indexed="81"/>
            <rFont val="Tahoma"/>
            <family val="2"/>
          </rPr>
          <t xml:space="preserve">Finanzverwaltung OW:
</t>
        </r>
        <r>
          <rPr>
            <sz val="8"/>
            <color indexed="81"/>
            <rFont val="Tahoma"/>
            <family val="2"/>
          </rPr>
          <t>Infolge Übergang der Nationalstrassen an den Bund wurden folgende ausserodentliche Abschreibungen getätigt:
Zulasten Rechnung 2007:   3,5 Mio. Fr.
Zulasten Rechnung 2006:   3,5 Mio. Fr
Zulasten Rechnung 2005:   3,5 Mio. Fr
Zulasten Rechnung 2004:   3,5 Mio. Fr.
Total 2004 - 2007              14,0 Mio. Fr.</t>
        </r>
      </text>
    </comment>
  </commentList>
</comments>
</file>

<file path=xl/sharedStrings.xml><?xml version="1.0" encoding="utf-8"?>
<sst xmlns="http://schemas.openxmlformats.org/spreadsheetml/2006/main" count="1454" uniqueCount="109">
  <si>
    <t>Konto</t>
  </si>
  <si>
    <t>Bezeichnung</t>
  </si>
  <si>
    <t>AG</t>
  </si>
  <si>
    <t>Bilanz</t>
  </si>
  <si>
    <t>in 1000 Fr.</t>
  </si>
  <si>
    <t>Aktiven</t>
  </si>
  <si>
    <t>Finanzvermögen</t>
  </si>
  <si>
    <t>100/101</t>
  </si>
  <si>
    <t>Fl. Mittel &amp; Guthaben</t>
  </si>
  <si>
    <t>Anlagen (inkl. Wertberichtigungen)</t>
  </si>
  <si>
    <t>Trans. Aktiven</t>
  </si>
  <si>
    <t>Verwaltungsvermögen</t>
  </si>
  <si>
    <t>Sachgüter</t>
  </si>
  <si>
    <t>Darlehen und Beteiligungen</t>
  </si>
  <si>
    <t>116/117</t>
  </si>
  <si>
    <t>Investitionsbeiträge,übrige Investitionen</t>
  </si>
  <si>
    <t>Vorschüsse an Spezialfinanzierungen</t>
  </si>
  <si>
    <t>Bilanzfehlbetrag</t>
  </si>
  <si>
    <t>Passiven</t>
  </si>
  <si>
    <t>Fremdkapital</t>
  </si>
  <si>
    <t>200/201</t>
  </si>
  <si>
    <t>Laufende Verpflichtungen / Kurzfristige Schulden</t>
  </si>
  <si>
    <t>Mittel- und Langfristige Schulden</t>
  </si>
  <si>
    <t>Trans. Passiven</t>
  </si>
  <si>
    <t>Verpflichtungen für Sonderrechnungen</t>
  </si>
  <si>
    <t>Rückstellungen</t>
  </si>
  <si>
    <t>Verpflichtungen für Spezialfinanzierungen</t>
  </si>
  <si>
    <t>Eigenkapital</t>
  </si>
  <si>
    <t>ZH</t>
  </si>
  <si>
    <t>ZG</t>
  </si>
  <si>
    <t>VS</t>
  </si>
  <si>
    <t/>
  </si>
  <si>
    <t>Actif</t>
  </si>
  <si>
    <t>Patrimoine Financier</t>
  </si>
  <si>
    <t>Disponibilités / Débiteurs / Comptes Courants</t>
  </si>
  <si>
    <t>Placements</t>
  </si>
  <si>
    <t>Comptes transitoires</t>
  </si>
  <si>
    <t>Patrimoine administratif</t>
  </si>
  <si>
    <t>Investissements</t>
  </si>
  <si>
    <t>Prêts et participations</t>
  </si>
  <si>
    <t>Subventions d'investissement accordées et autres dépenses à amortir</t>
  </si>
  <si>
    <t>Avances aux financements spéciaux</t>
  </si>
  <si>
    <t>Découvert</t>
  </si>
  <si>
    <t>Passif</t>
  </si>
  <si>
    <t>Engagements / Fonds Etrangers</t>
  </si>
  <si>
    <t>Engagements courants / Dettes à court terme</t>
  </si>
  <si>
    <t>Dettes à moyen et long terme</t>
  </si>
  <si>
    <t>Passifs transitoires</t>
  </si>
  <si>
    <t>Engagements envers des institutions particulières</t>
  </si>
  <si>
    <t>Provisions</t>
  </si>
  <si>
    <t>Engagements envers les financements spéciaux</t>
  </si>
  <si>
    <t>Fortune</t>
  </si>
  <si>
    <t>Bilan</t>
  </si>
  <si>
    <t>Subventions d'investissements accordées et autres dépenses à amortir</t>
  </si>
  <si>
    <t>Engagements envers les fonds spéciaux</t>
  </si>
  <si>
    <t>UR</t>
  </si>
  <si>
    <t>TI</t>
  </si>
  <si>
    <t>Investssements</t>
  </si>
  <si>
    <t>Engagements courant / Dettes à court terme</t>
  </si>
  <si>
    <t>Dettes à moyen er long termes</t>
  </si>
  <si>
    <t>Passif transitoires</t>
  </si>
  <si>
    <t>TG</t>
  </si>
  <si>
    <t>SZ</t>
  </si>
  <si>
    <t>SO</t>
  </si>
  <si>
    <t>SH</t>
  </si>
  <si>
    <t>SG</t>
  </si>
  <si>
    <t>OW</t>
  </si>
  <si>
    <t>NW</t>
  </si>
  <si>
    <t>NE</t>
  </si>
  <si>
    <t>LU</t>
  </si>
  <si>
    <t>Trans. Pasiven</t>
  </si>
  <si>
    <t>JU</t>
  </si>
  <si>
    <t>GR</t>
  </si>
  <si>
    <t>GL</t>
  </si>
  <si>
    <t>GE</t>
  </si>
  <si>
    <t>FR</t>
  </si>
  <si>
    <t>Dettes à moyen et long termes</t>
  </si>
  <si>
    <r>
      <t xml:space="preserve">Fortune </t>
    </r>
    <r>
      <rPr>
        <b/>
        <sz val="10"/>
        <color indexed="10"/>
        <rFont val="Arial"/>
        <family val="2"/>
      </rPr>
      <t>après</t>
    </r>
    <r>
      <rPr>
        <b/>
        <sz val="10"/>
        <rFont val="Arial"/>
        <family val="2"/>
      </rPr>
      <t xml:space="preserve"> répartition  du bénéfice/découvert</t>
    </r>
  </si>
  <si>
    <t>BS</t>
  </si>
  <si>
    <t>BL</t>
  </si>
  <si>
    <t>BE</t>
  </si>
  <si>
    <t>AR</t>
  </si>
  <si>
    <t>AI</t>
  </si>
  <si>
    <t>Anlagen abzüglich Wertberichtigungen)</t>
  </si>
  <si>
    <t>VD</t>
  </si>
  <si>
    <t>Normes IPSAS *</t>
  </si>
  <si>
    <t>* Le canton de Genève a procédé à un restatement de son bilan lors de l'introduction des normes IPSAS (janvier 2008). Ce restatement induit une rupture de la série statistique dès 2007.</t>
  </si>
  <si>
    <t>konsolidiert*</t>
  </si>
  <si>
    <t>Index</t>
  </si>
  <si>
    <t>2000 = 100</t>
  </si>
  <si>
    <t>Fl. Mittel &amp; Guthaben (inkl. Sonderverpflichtungen)</t>
  </si>
  <si>
    <t>Wertberichtigungen Verwaltungsvermögen (pauschal)</t>
  </si>
  <si>
    <t>-</t>
  </si>
  <si>
    <t>Sonderverpflichtungen (Guthaben ggb. Dritten)</t>
  </si>
  <si>
    <t>Die Guthaben gegenüber Dritten entstanden, weil LU die Pensionskassenverpflichtungen der Gemeinden bei der Sanierung der Pensionskasse finanziert hat. Die Gemeinden amortisieren nun diese Schuld.</t>
  </si>
  <si>
    <t>Der Bilanzfehlbetrag per 31.12.2000 habe ich als negatives Eigenkapital ausgewiesen, damit das System durchgängig ist -&gt; somit entsprechen die Beträge in der Kontengruppe 13 den
Sonderverpflichtungen.</t>
  </si>
  <si>
    <r>
      <t xml:space="preserve">Investitionsbeiträge,übrige Investitionen
</t>
    </r>
    <r>
      <rPr>
        <sz val="10"/>
        <color indexed="12"/>
        <rFont val="Arial"/>
        <family val="2"/>
      </rPr>
      <t>(inkl. pauschale Wertberichtigungen VV)</t>
    </r>
  </si>
  <si>
    <r>
      <t>Bilanzfehlbetrag</t>
    </r>
    <r>
      <rPr>
        <b/>
        <sz val="10"/>
        <color indexed="17"/>
        <rFont val="Arial"/>
        <family val="2"/>
      </rPr>
      <t xml:space="preserve"> </t>
    </r>
  </si>
  <si>
    <t>26 Kantone</t>
  </si>
  <si>
    <t>26 Cantons</t>
  </si>
  <si>
    <t>LU: inkl. Pauschale Wertberichtigungen, die nicht auf die Sachgruppen aufteilbar sind.</t>
  </si>
  <si>
    <t>LU: Guthaben: inkl.  Guthaben des Kantons gegenüber Gemeinden aus Übernahme der Pensionskassenverpflichtungen bei der Sanierung der Pensionskasse</t>
  </si>
  <si>
    <t>ab 2009 konsolidierte Bilanz; Bewertung nach HRM2</t>
  </si>
  <si>
    <t>HRM2</t>
  </si>
  <si>
    <t>HRM2=&gt;HRM1</t>
  </si>
  <si>
    <t>ab 2010 inkl. kumulierte zusätzliche Abschreibungen</t>
  </si>
  <si>
    <t>en frs. 1000</t>
  </si>
  <si>
    <r>
      <t xml:space="preserve">Provisions </t>
    </r>
    <r>
      <rPr>
        <b/>
        <u/>
        <sz val="10"/>
        <color rgb="FFFF0000"/>
        <rFont val="Arial"/>
        <family val="2"/>
      </rPr>
      <t>et réserves *</t>
    </r>
  </si>
  <si>
    <t>* Les montants en milliers de francs qui figuraient précédemment dans la Fortune (rubrique 29) pour les années 2010 (37'073), 2011 (18'663) et 2012 (20'985) concernent en fait des réserves qui doivent être mentionnées avec les provisions (rubrique 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</si>
</sst>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General_)"/>
    <numFmt numFmtId="166" formatCode="_ * #,##0_ ;_ * \-#,##0_ ;_ * &quot;-&quot;??_ ;_ @_ "/>
    <numFmt numFmtId="168" formatCode="#,##0_ ;[Red]\-#,##0\ "/>
    <numFmt numFmtId="170" formatCode="#,##0.00_ ;[Red]\-#,##0.00\ "/>
    <numFmt numFmtId="175" formatCode="_(* #,##0.00_);_(* \(#,##0.00\);_(* &quot;-&quot;??_);_(@_)"/>
    <numFmt numFmtId="176" formatCode="#\ ###\ ##0"/>
  </numFmts>
  <fonts count="64">
    <font>
      <sz val="10"/>
      <name val="Arial"/>
    </font>
    <font>
      <sz val="10"/>
      <color theme="1"/>
      <name val="Arial"/>
      <family val="2"/>
    </font>
    <font>
      <sz val="10"/>
      <color theme="1"/>
      <name val="Arial"/>
      <family val="2"/>
    </font>
    <font>
      <sz val="10"/>
      <name val="Arial"/>
      <family val="2"/>
    </font>
    <font>
      <sz val="10"/>
      <name val="MS Sans Serif"/>
      <family val="2"/>
    </font>
    <font>
      <b/>
      <sz val="10"/>
      <name val="Arial"/>
      <family val="2"/>
    </font>
    <font>
      <sz val="8"/>
      <name val="Arial"/>
      <family val="2"/>
    </font>
    <font>
      <sz val="10"/>
      <name val="Arial"/>
      <family val="2"/>
    </font>
    <font>
      <b/>
      <sz val="10"/>
      <name val="Arial"/>
      <family val="2"/>
    </font>
    <font>
      <sz val="9"/>
      <name val="Arial"/>
      <family val="2"/>
    </font>
    <font>
      <sz val="8"/>
      <name val="Arial"/>
      <family val="2"/>
    </font>
    <font>
      <b/>
      <sz val="10"/>
      <color indexed="10"/>
      <name val="Arial"/>
      <family val="2"/>
    </font>
    <font>
      <sz val="11"/>
      <name val="Arial"/>
      <family val="2"/>
    </font>
    <font>
      <sz val="10"/>
      <color indexed="10"/>
      <name val="Arial"/>
      <family val="2"/>
    </font>
    <font>
      <sz val="8"/>
      <color indexed="81"/>
      <name val="Tahoma"/>
      <family val="2"/>
    </font>
    <font>
      <b/>
      <sz val="8"/>
      <color indexed="81"/>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2"/>
      <name val="Arial"/>
      <family val="2"/>
    </font>
    <font>
      <b/>
      <sz val="10"/>
      <color indexed="17"/>
      <name val="Arial"/>
      <family val="2"/>
    </font>
    <font>
      <sz val="10"/>
      <color indexed="10"/>
      <name val="Arial"/>
      <family val="2"/>
    </font>
    <font>
      <sz val="10"/>
      <color indexed="17"/>
      <name val="Arial"/>
      <family val="2"/>
    </font>
    <font>
      <sz val="10"/>
      <color indexed="81"/>
      <name val="Tahoma"/>
      <family val="2"/>
    </font>
    <font>
      <b/>
      <sz val="10"/>
      <color indexed="81"/>
      <name val="Tahoma"/>
      <family val="2"/>
    </font>
    <font>
      <sz val="10"/>
      <color rgb="FFFF0000"/>
      <name val="Arial"/>
      <family val="2"/>
    </font>
    <font>
      <b/>
      <sz val="12"/>
      <color rgb="FFFF0000"/>
      <name val="Arial"/>
      <family val="2"/>
    </font>
    <font>
      <sz val="9"/>
      <color indexed="81"/>
      <name val="Tahoma"/>
      <family val="2"/>
    </font>
    <font>
      <b/>
      <sz val="9"/>
      <color indexed="81"/>
      <name val="Tahoma"/>
      <family val="2"/>
    </font>
    <font>
      <b/>
      <u/>
      <sz val="10"/>
      <color rgb="FFFF0000"/>
      <name val="Arial"/>
      <family val="2"/>
    </font>
    <font>
      <sz val="10"/>
      <name val="Arial"/>
      <family val="2"/>
    </font>
    <font>
      <b/>
      <sz val="10"/>
      <color indexed="8"/>
      <name val="Arial"/>
      <family val="2"/>
    </font>
    <font>
      <b/>
      <sz val="10"/>
      <name val="Arial Narrow"/>
      <family val="2"/>
    </font>
    <font>
      <sz val="10"/>
      <color indexed="9"/>
      <name val="Arial"/>
      <family val="2"/>
    </font>
    <font>
      <b/>
      <sz val="10"/>
      <color indexed="63"/>
      <name val="Arial"/>
      <family val="2"/>
    </font>
    <font>
      <sz val="10"/>
      <color indexed="62"/>
      <name val="Arial"/>
      <family val="2"/>
    </font>
    <font>
      <i/>
      <sz val="10"/>
      <color indexed="23"/>
      <name val="Arial"/>
      <family val="2"/>
    </font>
    <font>
      <sz val="10"/>
      <color indexed="20"/>
      <name val="Arial"/>
      <family val="2"/>
    </font>
    <font>
      <b/>
      <sz val="10"/>
      <color indexed="9"/>
      <name val="Arial"/>
      <family val="2"/>
    </font>
    <font>
      <b/>
      <sz val="10"/>
      <color indexed="52"/>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1"/>
      <color indexed="8"/>
      <name val="Arial"/>
      <family val="2"/>
    </font>
    <font>
      <sz val="10"/>
      <name val="Arial"/>
      <family val="2"/>
    </font>
    <font>
      <sz val="10"/>
      <name val="Geneva"/>
      <family val="2"/>
    </font>
    <font>
      <sz val="10"/>
      <name val="Helv"/>
      <family val="2"/>
    </font>
    <font>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CCECFF"/>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s>
  <cellStyleXfs count="1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40" fontId="4" fillId="0" borderId="0" applyFont="0" applyFill="0" applyBorder="0" applyAlignment="0" applyProtection="0"/>
    <xf numFmtId="40" fontId="4" fillId="0" borderId="0" applyFont="0" applyFill="0" applyBorder="0" applyAlignment="0" applyProtection="0"/>
    <xf numFmtId="0" fontId="20" fillId="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43" fontId="3" fillId="0" borderId="0" applyFont="0" applyFill="0" applyBorder="0" applyAlignment="0" applyProtection="0"/>
    <xf numFmtId="0" fontId="24" fillId="21" borderId="0" applyNumberFormat="0" applyBorder="0" applyAlignment="0" applyProtection="0"/>
    <xf numFmtId="0" fontId="4" fillId="0" borderId="0"/>
    <xf numFmtId="0" fontId="3" fillId="22" borderId="4" applyNumberFormat="0" applyFont="0" applyAlignment="0" applyProtection="0"/>
    <xf numFmtId="0" fontId="25" fillId="3" borderId="0" applyNumberFormat="0" applyBorder="0" applyAlignment="0" applyProtection="0"/>
    <xf numFmtId="168" fontId="3" fillId="0" borderId="0" applyFont="0" applyFill="0" applyBorder="0" applyAlignment="0" applyProtection="0"/>
    <xf numFmtId="164" fontId="3" fillId="0" borderId="0"/>
    <xf numFmtId="164" fontId="3" fillId="0" borderId="0"/>
    <xf numFmtId="164" fontId="3" fillId="0" borderId="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23" borderId="9" applyNumberFormat="0" applyAlignment="0" applyProtection="0"/>
    <xf numFmtId="0" fontId="3" fillId="0" borderId="0"/>
    <xf numFmtId="0" fontId="3" fillId="0" borderId="0"/>
    <xf numFmtId="164" fontId="44" fillId="0" borderId="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8" fillId="20" borderId="1" applyNumberFormat="0" applyAlignment="0" applyProtection="0"/>
    <xf numFmtId="0" fontId="53" fillId="20" borderId="2" applyNumberFormat="0" applyAlignment="0" applyProtection="0"/>
    <xf numFmtId="0" fontId="53" fillId="20" borderId="2" applyNumberFormat="0" applyAlignment="0" applyProtection="0"/>
    <xf numFmtId="175" fontId="3" fillId="0" borderId="0" applyFont="0" applyFill="0" applyBorder="0" applyAlignment="0" applyProtection="0"/>
    <xf numFmtId="0" fontId="49" fillId="7" borderId="2" applyNumberFormat="0" applyAlignment="0" applyProtection="0"/>
    <xf numFmtId="0" fontId="49" fillId="7" borderId="2" applyNumberFormat="0" applyAlignment="0" applyProtection="0"/>
    <xf numFmtId="0" fontId="45" fillId="0" borderId="3" applyNumberFormat="0" applyFill="0" applyAlignment="0" applyProtection="0"/>
    <xf numFmtId="0" fontId="45" fillId="0" borderId="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 fillId="22" borderId="4" applyNumberFormat="0" applyFont="0" applyAlignment="0" applyProtection="0"/>
    <xf numFmtId="0" fontId="3" fillId="22" borderId="4" applyNumberFormat="0" applyFont="0" applyAlignment="0" applyProtection="0"/>
    <xf numFmtId="9" fontId="3" fillId="0" borderId="0" applyFont="0" applyFill="0" applyBorder="0" applyAlignment="0" applyProtection="0"/>
    <xf numFmtId="0" fontId="51" fillId="3" borderId="0" applyNumberFormat="0" applyBorder="0" applyAlignment="0" applyProtection="0"/>
    <xf numFmtId="0" fontId="51"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176" fontId="46" fillId="0" borderId="12" applyBorder="0" applyAlignment="0">
      <alignment horizontal="center"/>
    </xf>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8" fillId="0" borderId="8" applyNumberFormat="0" applyFill="0" applyAlignment="0" applyProtection="0"/>
    <xf numFmtId="0" fontId="58" fillId="0" borderId="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2" fillId="23" borderId="9" applyNumberFormat="0" applyAlignment="0" applyProtection="0"/>
    <xf numFmtId="0" fontId="52" fillId="23" borderId="9" applyNumberFormat="0" applyAlignment="0" applyProtection="0"/>
    <xf numFmtId="0" fontId="3" fillId="0" borderId="0"/>
    <xf numFmtId="164" fontId="60" fillId="0" borderId="0"/>
    <xf numFmtId="0" fontId="2" fillId="0" borderId="0"/>
    <xf numFmtId="43"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 fontId="61" fillId="0" borderId="0" applyFont="0" applyFill="0" applyBorder="0" applyAlignment="0" applyProtection="0"/>
    <xf numFmtId="0" fontId="62" fillId="0" borderId="0"/>
    <xf numFmtId="164" fontId="3" fillId="0" borderId="0"/>
    <xf numFmtId="40" fontId="4" fillId="0" borderId="0" applyFont="0" applyFill="0" applyBorder="0" applyAlignment="0" applyProtection="0"/>
    <xf numFmtId="164" fontId="63" fillId="0" borderId="0"/>
    <xf numFmtId="0" fontId="1"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97">
    <xf numFmtId="0" fontId="0" fillId="0" borderId="0" xfId="0"/>
    <xf numFmtId="164" fontId="5" fillId="0" borderId="10" xfId="40" applyFont="1" applyBorder="1" applyAlignment="1">
      <alignment horizontal="center"/>
    </xf>
    <xf numFmtId="164" fontId="3" fillId="0" borderId="0" xfId="40"/>
    <xf numFmtId="164" fontId="3" fillId="0" borderId="11" xfId="40" applyFont="1" applyBorder="1" applyAlignment="1">
      <alignment vertical="center"/>
    </xf>
    <xf numFmtId="164" fontId="5" fillId="0" borderId="12" xfId="40" applyFont="1" applyBorder="1"/>
    <xf numFmtId="164" fontId="3" fillId="0" borderId="12" xfId="40" applyBorder="1"/>
    <xf numFmtId="0" fontId="0" fillId="0" borderId="12" xfId="0" applyBorder="1"/>
    <xf numFmtId="164" fontId="3" fillId="0" borderId="13" xfId="40" applyFont="1" applyBorder="1" applyAlignment="1">
      <alignment vertical="center"/>
    </xf>
    <xf numFmtId="164" fontId="5" fillId="0" borderId="14" xfId="40" applyFont="1" applyBorder="1" applyAlignment="1" applyProtection="1">
      <alignment horizontal="left" vertical="center"/>
    </xf>
    <xf numFmtId="164" fontId="6" fillId="0" borderId="10" xfId="40" applyFont="1" applyBorder="1" applyAlignment="1">
      <alignment horizontal="center"/>
    </xf>
    <xf numFmtId="164" fontId="6" fillId="0" borderId="15" xfId="40" applyFont="1" applyBorder="1" applyAlignment="1">
      <alignment horizontal="center"/>
    </xf>
    <xf numFmtId="164" fontId="5" fillId="0" borderId="16" xfId="40" applyFont="1" applyBorder="1" applyAlignment="1">
      <alignment horizontal="left" vertical="center"/>
    </xf>
    <xf numFmtId="164" fontId="5" fillId="0" borderId="17" xfId="40" applyFont="1" applyBorder="1" applyAlignment="1" applyProtection="1">
      <alignment horizontal="left" vertical="center"/>
    </xf>
    <xf numFmtId="38" fontId="5" fillId="0" borderId="15" xfId="28" applyNumberFormat="1" applyFont="1" applyBorder="1" applyAlignment="1">
      <alignment horizontal="right"/>
    </xf>
    <xf numFmtId="164" fontId="3" fillId="0" borderId="18" xfId="40" applyFont="1" applyBorder="1" applyAlignment="1" applyProtection="1">
      <alignment horizontal="left" vertical="center"/>
    </xf>
    <xf numFmtId="164" fontId="3" fillId="0" borderId="19" xfId="40" applyFont="1" applyBorder="1" applyAlignment="1" applyProtection="1">
      <alignment horizontal="left" vertical="center"/>
    </xf>
    <xf numFmtId="38" fontId="3" fillId="0" borderId="20" xfId="28" applyNumberFormat="1" applyFont="1" applyBorder="1" applyAlignment="1">
      <alignment horizontal="right"/>
    </xf>
    <xf numFmtId="38" fontId="3" fillId="0" borderId="0" xfId="28" applyNumberFormat="1" applyFont="1" applyBorder="1" applyAlignment="1">
      <alignment horizontal="right"/>
    </xf>
    <xf numFmtId="0" fontId="0" fillId="0" borderId="20" xfId="0" applyBorder="1"/>
    <xf numFmtId="164" fontId="5" fillId="0" borderId="16" xfId="40" applyFont="1" applyBorder="1" applyAlignment="1" applyProtection="1">
      <alignment horizontal="left" vertical="center"/>
    </xf>
    <xf numFmtId="164" fontId="3" fillId="0" borderId="21" xfId="40" applyBorder="1" applyAlignment="1" applyProtection="1">
      <alignment horizontal="left" vertical="center"/>
    </xf>
    <xf numFmtId="164" fontId="3" fillId="0" borderId="22" xfId="40" applyBorder="1" applyAlignment="1" applyProtection="1">
      <alignment horizontal="left" vertical="center"/>
    </xf>
    <xf numFmtId="38" fontId="3" fillId="0" borderId="23" xfId="28" applyNumberFormat="1" applyFont="1" applyBorder="1" applyAlignment="1">
      <alignment horizontal="right"/>
    </xf>
    <xf numFmtId="38" fontId="3" fillId="0" borderId="24" xfId="28" applyNumberFormat="1" applyFont="1" applyBorder="1" applyAlignment="1">
      <alignment horizontal="right"/>
    </xf>
    <xf numFmtId="3" fontId="3" fillId="0" borderId="23" xfId="40" applyNumberFormat="1" applyBorder="1"/>
    <xf numFmtId="164" fontId="3" fillId="0" borderId="25" xfId="40" applyFont="1" applyBorder="1" applyAlignment="1" applyProtection="1">
      <alignment horizontal="left" vertical="center"/>
    </xf>
    <xf numFmtId="164" fontId="3" fillId="0" borderId="26" xfId="40" applyBorder="1" applyAlignment="1" applyProtection="1">
      <alignment horizontal="left" vertical="center"/>
    </xf>
    <xf numFmtId="3" fontId="3" fillId="0" borderId="27" xfId="40" applyNumberFormat="1" applyBorder="1"/>
    <xf numFmtId="164" fontId="3" fillId="0" borderId="28" xfId="40" applyFont="1" applyBorder="1" applyAlignment="1" applyProtection="1">
      <alignment horizontal="left" vertical="center"/>
    </xf>
    <xf numFmtId="164" fontId="3" fillId="0" borderId="29" xfId="40" applyFont="1" applyBorder="1" applyAlignment="1" applyProtection="1">
      <alignment horizontal="left" vertical="center"/>
    </xf>
    <xf numFmtId="38" fontId="3" fillId="0" borderId="30" xfId="28" applyNumberFormat="1" applyFont="1" applyBorder="1" applyAlignment="1">
      <alignment horizontal="right"/>
    </xf>
    <xf numFmtId="38" fontId="3" fillId="0" borderId="31" xfId="28" applyNumberFormat="1" applyFont="1" applyBorder="1" applyAlignment="1">
      <alignment horizontal="right"/>
    </xf>
    <xf numFmtId="164" fontId="3" fillId="0" borderId="21" xfId="40" applyFont="1" applyBorder="1" applyAlignment="1" applyProtection="1">
      <alignment horizontal="left" vertical="center"/>
    </xf>
    <xf numFmtId="164" fontId="7" fillId="0" borderId="25" xfId="40" applyFont="1" applyBorder="1" applyAlignment="1" applyProtection="1">
      <alignment horizontal="left" vertical="center"/>
    </xf>
    <xf numFmtId="164" fontId="7" fillId="0" borderId="26" xfId="40" applyFont="1" applyBorder="1" applyAlignment="1" applyProtection="1">
      <alignment horizontal="left" vertical="center"/>
    </xf>
    <xf numFmtId="164" fontId="3" fillId="0" borderId="28" xfId="40" applyFont="1" applyBorder="1" applyAlignment="1">
      <alignment vertical="center"/>
    </xf>
    <xf numFmtId="164" fontId="3" fillId="0" borderId="29" xfId="40" applyFont="1" applyBorder="1" applyAlignment="1">
      <alignment vertical="center"/>
    </xf>
    <xf numFmtId="0" fontId="0" fillId="0" borderId="32" xfId="0" applyBorder="1"/>
    <xf numFmtId="164" fontId="5" fillId="0" borderId="17" xfId="40" applyFont="1" applyBorder="1" applyAlignment="1">
      <alignment vertical="center"/>
    </xf>
    <xf numFmtId="164" fontId="3" fillId="0" borderId="18" xfId="40" applyFont="1" applyBorder="1" applyAlignment="1">
      <alignment vertical="center"/>
    </xf>
    <xf numFmtId="164" fontId="3" fillId="0" borderId="19" xfId="40" applyFont="1" applyBorder="1" applyAlignment="1">
      <alignment vertical="center"/>
    </xf>
    <xf numFmtId="164" fontId="3" fillId="0" borderId="21" xfId="40" applyFont="1" applyBorder="1" applyAlignment="1">
      <alignment vertical="center"/>
    </xf>
    <xf numFmtId="164" fontId="3" fillId="0" borderId="22" xfId="40" applyFont="1" applyBorder="1" applyAlignment="1">
      <alignment vertical="center"/>
    </xf>
    <xf numFmtId="164" fontId="3" fillId="0" borderId="28" xfId="40" quotePrefix="1" applyFont="1" applyBorder="1" applyAlignment="1">
      <alignment vertical="center"/>
    </xf>
    <xf numFmtId="164" fontId="8" fillId="0" borderId="18" xfId="40" applyFont="1" applyBorder="1" applyAlignment="1">
      <alignment horizontal="left" vertical="center"/>
    </xf>
    <xf numFmtId="164" fontId="8" fillId="0" borderId="19" xfId="40" applyFont="1" applyBorder="1" applyAlignment="1">
      <alignment vertical="center"/>
    </xf>
    <xf numFmtId="164" fontId="5" fillId="0" borderId="16" xfId="40" quotePrefix="1" applyFont="1" applyFill="1" applyBorder="1" applyAlignment="1">
      <alignment horizontal="left" vertical="center"/>
    </xf>
    <xf numFmtId="164" fontId="5" fillId="0" borderId="17" xfId="40" applyFont="1" applyFill="1" applyBorder="1" applyAlignment="1">
      <alignment vertical="center"/>
    </xf>
    <xf numFmtId="164" fontId="3" fillId="0" borderId="21" xfId="40" applyBorder="1" applyAlignment="1">
      <alignment vertical="center"/>
    </xf>
    <xf numFmtId="164" fontId="3" fillId="0" borderId="22" xfId="40" applyBorder="1" applyAlignment="1">
      <alignment vertical="center"/>
    </xf>
    <xf numFmtId="164" fontId="3" fillId="0" borderId="25" xfId="40" quotePrefix="1" applyFont="1" applyBorder="1" applyAlignment="1">
      <alignment horizontal="left" vertical="center"/>
    </xf>
    <xf numFmtId="164" fontId="3" fillId="0" borderId="26" xfId="40" applyBorder="1" applyAlignment="1">
      <alignment vertical="center"/>
    </xf>
    <xf numFmtId="164" fontId="3" fillId="0" borderId="26" xfId="40" applyFont="1" applyBorder="1" applyAlignment="1">
      <alignment vertical="center"/>
    </xf>
    <xf numFmtId="164" fontId="3" fillId="0" borderId="18" xfId="40" applyFont="1" applyBorder="1" applyAlignment="1">
      <alignment horizontal="left" vertical="center"/>
    </xf>
    <xf numFmtId="164" fontId="5" fillId="0" borderId="16" xfId="40" applyFont="1" applyFill="1" applyBorder="1" applyAlignment="1">
      <alignment horizontal="left" vertical="center"/>
    </xf>
    <xf numFmtId="3" fontId="5" fillId="0" borderId="32" xfId="0" applyNumberFormat="1" applyFont="1" applyBorder="1"/>
    <xf numFmtId="164" fontId="3" fillId="0" borderId="23" xfId="40" applyBorder="1"/>
    <xf numFmtId="164" fontId="3" fillId="0" borderId="24" xfId="40" applyBorder="1"/>
    <xf numFmtId="164" fontId="7" fillId="0" borderId="23" xfId="40" applyFont="1" applyBorder="1"/>
    <xf numFmtId="3" fontId="3" fillId="0" borderId="33" xfId="40" applyNumberFormat="1" applyBorder="1"/>
    <xf numFmtId="164" fontId="3" fillId="0" borderId="34" xfId="40" applyFont="1" applyFill="1" applyBorder="1" applyAlignment="1">
      <alignment vertical="center"/>
    </xf>
    <xf numFmtId="164" fontId="3" fillId="0" borderId="32" xfId="40" applyBorder="1"/>
    <xf numFmtId="164" fontId="3" fillId="0" borderId="35" xfId="40" applyBorder="1"/>
    <xf numFmtId="164" fontId="7" fillId="0" borderId="32" xfId="40" applyFont="1" applyBorder="1"/>
    <xf numFmtId="3" fontId="3" fillId="0" borderId="32" xfId="40" applyNumberFormat="1" applyBorder="1"/>
    <xf numFmtId="164" fontId="3" fillId="0" borderId="0" xfId="40" applyFill="1"/>
    <xf numFmtId="164" fontId="3" fillId="0" borderId="0" xfId="40" applyFont="1" applyFill="1" applyAlignment="1">
      <alignment vertical="center"/>
    </xf>
    <xf numFmtId="164" fontId="7" fillId="0" borderId="0" xfId="40" applyFont="1" applyFill="1"/>
    <xf numFmtId="3" fontId="3" fillId="0" borderId="0" xfId="40" applyNumberFormat="1" applyFill="1"/>
    <xf numFmtId="164" fontId="3" fillId="0" borderId="0" xfId="40" applyFill="1" applyBorder="1"/>
    <xf numFmtId="164" fontId="3" fillId="0" borderId="0" xfId="40" applyFont="1" applyFill="1" applyBorder="1" applyAlignment="1">
      <alignment vertical="center"/>
    </xf>
    <xf numFmtId="38" fontId="5" fillId="0" borderId="0" xfId="28" applyNumberFormat="1" applyFont="1" applyFill="1" applyBorder="1" applyAlignment="1">
      <alignment horizontal="right"/>
    </xf>
    <xf numFmtId="164" fontId="7" fillId="0" borderId="0" xfId="40" applyFont="1" applyFill="1" applyBorder="1"/>
    <xf numFmtId="3" fontId="3" fillId="0" borderId="0" xfId="40" applyNumberFormat="1" applyFill="1" applyBorder="1"/>
    <xf numFmtId="164" fontId="3" fillId="0" borderId="0" xfId="40" applyFill="1" applyAlignment="1">
      <alignment vertical="center"/>
    </xf>
    <xf numFmtId="164" fontId="3" fillId="0" borderId="0" xfId="40" applyAlignment="1">
      <alignment vertical="center"/>
    </xf>
    <xf numFmtId="164" fontId="7" fillId="0" borderId="0" xfId="40" applyFont="1"/>
    <xf numFmtId="3" fontId="3" fillId="0" borderId="0" xfId="40" applyNumberFormat="1"/>
    <xf numFmtId="164" fontId="3" fillId="0" borderId="0" xfId="41"/>
    <xf numFmtId="164" fontId="5" fillId="0" borderId="20" xfId="40" applyFont="1" applyBorder="1" applyAlignment="1">
      <alignment horizontal="center"/>
    </xf>
    <xf numFmtId="164" fontId="3" fillId="0" borderId="20" xfId="41" applyBorder="1"/>
    <xf numFmtId="164" fontId="3" fillId="0" borderId="21" xfId="41" applyFont="1" applyBorder="1" applyAlignment="1">
      <alignment vertical="center"/>
    </xf>
    <xf numFmtId="164" fontId="3" fillId="0" borderId="22" xfId="41" applyFont="1" applyBorder="1" applyAlignment="1">
      <alignment vertical="center"/>
    </xf>
    <xf numFmtId="164" fontId="3" fillId="0" borderId="23" xfId="41" applyBorder="1"/>
    <xf numFmtId="164" fontId="3" fillId="0" borderId="24" xfId="41" applyBorder="1"/>
    <xf numFmtId="164" fontId="3" fillId="0" borderId="0" xfId="41" applyAlignment="1">
      <alignment vertical="center"/>
    </xf>
    <xf numFmtId="164" fontId="6" fillId="0" borderId="13" xfId="40" applyFont="1" applyBorder="1" applyAlignment="1">
      <alignment horizontal="center"/>
    </xf>
    <xf numFmtId="38" fontId="5" fillId="0" borderId="16" xfId="28" applyNumberFormat="1" applyFont="1" applyBorder="1" applyAlignment="1">
      <alignment horizontal="right"/>
    </xf>
    <xf numFmtId="4" fontId="0" fillId="0" borderId="0" xfId="0" applyNumberFormat="1"/>
    <xf numFmtId="164" fontId="3" fillId="0" borderId="0" xfId="40" applyFont="1" applyBorder="1" applyAlignment="1">
      <alignment vertical="center"/>
    </xf>
    <xf numFmtId="164" fontId="3" fillId="0" borderId="17" xfId="40" applyFont="1" applyBorder="1" applyAlignment="1">
      <alignment vertical="center"/>
    </xf>
    <xf numFmtId="164" fontId="3" fillId="0" borderId="15" xfId="40" applyBorder="1"/>
    <xf numFmtId="164" fontId="3" fillId="0" borderId="0" xfId="39"/>
    <xf numFmtId="49" fontId="0" fillId="0" borderId="0" xfId="0" applyNumberFormat="1"/>
    <xf numFmtId="4" fontId="9" fillId="0" borderId="0" xfId="0" applyNumberFormat="1" applyFont="1"/>
    <xf numFmtId="4" fontId="9" fillId="0" borderId="0" xfId="0" applyNumberFormat="1" applyFont="1" applyBorder="1"/>
    <xf numFmtId="0" fontId="0" fillId="0" borderId="0" xfId="0" applyBorder="1"/>
    <xf numFmtId="164" fontId="3" fillId="0" borderId="26" xfId="39" applyFont="1" applyBorder="1" applyAlignment="1">
      <alignment vertical="center"/>
    </xf>
    <xf numFmtId="164" fontId="3" fillId="0" borderId="11" xfId="39" applyFont="1" applyBorder="1" applyAlignment="1">
      <alignment vertical="center"/>
    </xf>
    <xf numFmtId="164" fontId="5" fillId="0" borderId="34" xfId="39" applyFont="1" applyBorder="1" applyAlignment="1" applyProtection="1">
      <alignment horizontal="left" vertical="center"/>
    </xf>
    <xf numFmtId="164" fontId="5" fillId="0" borderId="12" xfId="39" applyFont="1" applyBorder="1"/>
    <xf numFmtId="164" fontId="5" fillId="0" borderId="36" xfId="39" applyFont="1" applyBorder="1" applyAlignment="1">
      <alignment horizontal="center"/>
    </xf>
    <xf numFmtId="164" fontId="3" fillId="0" borderId="12" xfId="39" applyBorder="1"/>
    <xf numFmtId="164" fontId="5" fillId="0" borderId="16" xfId="39" applyFont="1" applyBorder="1" applyAlignment="1">
      <alignment horizontal="left" vertical="center"/>
    </xf>
    <xf numFmtId="164" fontId="5" fillId="0" borderId="17" xfId="39" applyFont="1" applyBorder="1" applyAlignment="1" applyProtection="1">
      <alignment horizontal="left" vertical="center"/>
    </xf>
    <xf numFmtId="38" fontId="5" fillId="0" borderId="15" xfId="27" applyNumberFormat="1" applyFont="1" applyBorder="1" applyAlignment="1">
      <alignment horizontal="right"/>
    </xf>
    <xf numFmtId="164" fontId="3" fillId="0" borderId="18" xfId="39" applyFont="1" applyBorder="1" applyAlignment="1" applyProtection="1">
      <alignment horizontal="left" vertical="center"/>
    </xf>
    <xf numFmtId="164" fontId="3" fillId="0" borderId="19" xfId="39" applyFont="1" applyBorder="1" applyAlignment="1" applyProtection="1">
      <alignment horizontal="left" vertical="center"/>
    </xf>
    <xf numFmtId="38" fontId="3" fillId="0" borderId="20" xfId="27" applyNumberFormat="1" applyFont="1" applyBorder="1" applyAlignment="1">
      <alignment horizontal="right"/>
    </xf>
    <xf numFmtId="38" fontId="3" fillId="0" borderId="0" xfId="27" applyNumberFormat="1" applyFont="1" applyBorder="1" applyAlignment="1">
      <alignment horizontal="right"/>
    </xf>
    <xf numFmtId="164" fontId="3" fillId="0" borderId="20" xfId="39" applyBorder="1"/>
    <xf numFmtId="164" fontId="5" fillId="0" borderId="16" xfId="39" applyFont="1" applyBorder="1" applyAlignment="1" applyProtection="1">
      <alignment horizontal="left" vertical="center"/>
    </xf>
    <xf numFmtId="38" fontId="5" fillId="0" borderId="37" xfId="27" applyNumberFormat="1" applyFont="1" applyBorder="1" applyAlignment="1">
      <alignment horizontal="right"/>
    </xf>
    <xf numFmtId="164" fontId="3" fillId="0" borderId="21" xfId="39" applyBorder="1" applyAlignment="1" applyProtection="1">
      <alignment horizontal="left" vertical="center"/>
    </xf>
    <xf numFmtId="164" fontId="3" fillId="0" borderId="22" xfId="39" applyBorder="1" applyAlignment="1" applyProtection="1">
      <alignment horizontal="left" vertical="center"/>
    </xf>
    <xf numFmtId="38" fontId="3" fillId="0" borderId="23" xfId="27" applyNumberFormat="1" applyFont="1" applyBorder="1" applyAlignment="1">
      <alignment horizontal="right"/>
    </xf>
    <xf numFmtId="164" fontId="3" fillId="0" borderId="25" xfId="39" applyFont="1" applyBorder="1" applyAlignment="1" applyProtection="1">
      <alignment horizontal="left" vertical="center"/>
    </xf>
    <xf numFmtId="164" fontId="3" fillId="0" borderId="26" xfId="39" applyBorder="1" applyAlignment="1" applyProtection="1">
      <alignment horizontal="left" vertical="center"/>
    </xf>
    <xf numFmtId="38" fontId="3" fillId="0" borderId="27" xfId="27" applyNumberFormat="1" applyFont="1" applyBorder="1" applyAlignment="1">
      <alignment horizontal="right"/>
    </xf>
    <xf numFmtId="164" fontId="3" fillId="0" borderId="28" xfId="39" applyFont="1" applyBorder="1" applyAlignment="1" applyProtection="1">
      <alignment horizontal="left" vertical="center"/>
    </xf>
    <xf numFmtId="164" fontId="3" fillId="0" borderId="29" xfId="39" applyFont="1" applyBorder="1" applyAlignment="1" applyProtection="1">
      <alignment horizontal="left" vertical="center"/>
    </xf>
    <xf numFmtId="164" fontId="3" fillId="0" borderId="21" xfId="39" applyFont="1" applyBorder="1" applyAlignment="1" applyProtection="1">
      <alignment horizontal="left" vertical="center"/>
    </xf>
    <xf numFmtId="164" fontId="3" fillId="0" borderId="22" xfId="39" applyFont="1" applyBorder="1" applyAlignment="1" applyProtection="1">
      <alignment horizontal="left" vertical="center"/>
    </xf>
    <xf numFmtId="164" fontId="7" fillId="0" borderId="25" xfId="39" applyFont="1" applyBorder="1" applyAlignment="1" applyProtection="1">
      <alignment horizontal="left" vertical="center"/>
    </xf>
    <xf numFmtId="164" fontId="7" fillId="0" borderId="26" xfId="39" applyFont="1" applyBorder="1" applyAlignment="1" applyProtection="1">
      <alignment horizontal="left" vertical="center" wrapText="1"/>
    </xf>
    <xf numFmtId="164" fontId="3" fillId="0" borderId="28" xfId="39" applyFont="1" applyBorder="1" applyAlignment="1">
      <alignment vertical="center"/>
    </xf>
    <xf numFmtId="164" fontId="3" fillId="0" borderId="29" xfId="39" applyFont="1" applyBorder="1" applyAlignment="1">
      <alignment vertical="center"/>
    </xf>
    <xf numFmtId="164" fontId="5" fillId="0" borderId="17" xfId="39" applyFont="1" applyBorder="1" applyAlignment="1">
      <alignment vertical="center"/>
    </xf>
    <xf numFmtId="164" fontId="3" fillId="0" borderId="15" xfId="39" applyBorder="1"/>
    <xf numFmtId="164" fontId="3" fillId="0" borderId="18" xfId="39" applyFont="1" applyBorder="1" applyAlignment="1">
      <alignment vertical="center"/>
    </xf>
    <xf numFmtId="164" fontId="3" fillId="0" borderId="19" xfId="39" applyFont="1" applyBorder="1" applyAlignment="1">
      <alignment vertical="center"/>
    </xf>
    <xf numFmtId="164" fontId="3" fillId="0" borderId="21" xfId="39" applyFont="1" applyBorder="1" applyAlignment="1">
      <alignment vertical="center"/>
    </xf>
    <xf numFmtId="164" fontId="3" fillId="0" borderId="22" xfId="39" applyFont="1" applyBorder="1" applyAlignment="1">
      <alignment vertical="center"/>
    </xf>
    <xf numFmtId="164" fontId="3" fillId="0" borderId="23" xfId="39" applyBorder="1"/>
    <xf numFmtId="164" fontId="3" fillId="0" borderId="28" xfId="39" quotePrefix="1" applyFont="1" applyBorder="1" applyAlignment="1">
      <alignment vertical="center"/>
    </xf>
    <xf numFmtId="164" fontId="8" fillId="0" borderId="18" xfId="39" applyFont="1" applyBorder="1" applyAlignment="1">
      <alignment horizontal="left" vertical="center"/>
    </xf>
    <xf numFmtId="164" fontId="8" fillId="0" borderId="19" xfId="39" applyFont="1" applyBorder="1" applyAlignment="1">
      <alignment vertical="center"/>
    </xf>
    <xf numFmtId="164" fontId="5" fillId="0" borderId="16" xfId="39" quotePrefix="1" applyFont="1" applyFill="1" applyBorder="1" applyAlignment="1">
      <alignment horizontal="left" vertical="center"/>
    </xf>
    <xf numFmtId="164" fontId="5" fillId="0" borderId="17" xfId="39" applyFont="1" applyFill="1" applyBorder="1" applyAlignment="1">
      <alignment vertical="center"/>
    </xf>
    <xf numFmtId="164" fontId="3" fillId="0" borderId="21" xfId="39" applyBorder="1" applyAlignment="1">
      <alignment vertical="center"/>
    </xf>
    <xf numFmtId="164" fontId="3" fillId="0" borderId="25" xfId="39" quotePrefix="1" applyFont="1" applyBorder="1" applyAlignment="1">
      <alignment horizontal="left" vertical="center"/>
    </xf>
    <xf numFmtId="164" fontId="3" fillId="0" borderId="18" xfId="39" applyFont="1" applyBorder="1" applyAlignment="1">
      <alignment horizontal="left" vertical="center"/>
    </xf>
    <xf numFmtId="164" fontId="5" fillId="0" borderId="16" xfId="39" applyFont="1" applyFill="1" applyBorder="1" applyAlignment="1">
      <alignment horizontal="left" vertical="center"/>
    </xf>
    <xf numFmtId="164" fontId="3" fillId="0" borderId="24" xfId="39" applyBorder="1"/>
    <xf numFmtId="164" fontId="3" fillId="0" borderId="34" xfId="39" applyFont="1" applyBorder="1" applyAlignment="1">
      <alignment vertical="center"/>
    </xf>
    <xf numFmtId="164" fontId="3" fillId="0" borderId="32" xfId="39" applyBorder="1"/>
    <xf numFmtId="164" fontId="3" fillId="0" borderId="35" xfId="39" applyBorder="1"/>
    <xf numFmtId="164" fontId="3" fillId="0" borderId="0" xfId="39" applyAlignment="1">
      <alignment vertical="center"/>
    </xf>
    <xf numFmtId="164" fontId="3" fillId="0" borderId="20" xfId="40" applyBorder="1"/>
    <xf numFmtId="164" fontId="3" fillId="0" borderId="27" xfId="40" applyBorder="1"/>
    <xf numFmtId="164" fontId="3" fillId="0" borderId="30" xfId="40" applyBorder="1"/>
    <xf numFmtId="38" fontId="5" fillId="0" borderId="15" xfId="28" applyNumberFormat="1" applyFont="1" applyFill="1" applyBorder="1" applyAlignment="1">
      <alignment horizontal="right"/>
    </xf>
    <xf numFmtId="3" fontId="5" fillId="0" borderId="0" xfId="40" applyNumberFormat="1" applyFont="1"/>
    <xf numFmtId="164" fontId="5" fillId="0" borderId="11" xfId="40" applyFont="1" applyBorder="1" applyAlignment="1">
      <alignment vertical="center"/>
    </xf>
    <xf numFmtId="164" fontId="5" fillId="0" borderId="34" xfId="40" applyFont="1" applyFill="1" applyBorder="1" applyAlignment="1">
      <alignment vertical="center"/>
    </xf>
    <xf numFmtId="3" fontId="3" fillId="0" borderId="12" xfId="40" applyNumberFormat="1" applyBorder="1"/>
    <xf numFmtId="0" fontId="0" fillId="0" borderId="30" xfId="0" applyBorder="1"/>
    <xf numFmtId="3" fontId="0" fillId="0" borderId="0" xfId="0" applyNumberFormat="1"/>
    <xf numFmtId="4" fontId="3" fillId="0" borderId="0" xfId="39" applyNumberFormat="1"/>
    <xf numFmtId="3" fontId="5" fillId="0" borderId="23" xfId="40" applyNumberFormat="1" applyFont="1" applyBorder="1"/>
    <xf numFmtId="164" fontId="3" fillId="0" borderId="0" xfId="40" applyBorder="1"/>
    <xf numFmtId="164" fontId="13" fillId="0" borderId="0" xfId="40" applyFont="1" applyAlignment="1">
      <alignment vertical="center"/>
    </xf>
    <xf numFmtId="164" fontId="13" fillId="0" borderId="0" xfId="40" applyFont="1" applyAlignment="1"/>
    <xf numFmtId="164" fontId="3" fillId="0" borderId="0" xfId="40" applyAlignment="1"/>
    <xf numFmtId="166" fontId="3" fillId="0" borderId="23" xfId="33" applyNumberFormat="1" applyBorder="1" applyAlignment="1">
      <alignment horizontal="right"/>
    </xf>
    <xf numFmtId="0" fontId="0" fillId="0" borderId="10" xfId="0" applyBorder="1"/>
    <xf numFmtId="164" fontId="3" fillId="0" borderId="0" xfId="40" applyFont="1"/>
    <xf numFmtId="3" fontId="0" fillId="0" borderId="10" xfId="0" applyNumberFormat="1" applyBorder="1"/>
    <xf numFmtId="3" fontId="3" fillId="0" borderId="0" xfId="40" applyNumberFormat="1" applyBorder="1"/>
    <xf numFmtId="0" fontId="0" fillId="0" borderId="18" xfId="0" applyBorder="1"/>
    <xf numFmtId="164" fontId="3" fillId="0" borderId="11" xfId="40" applyFont="1" applyFill="1" applyBorder="1" applyAlignment="1">
      <alignment vertical="center"/>
    </xf>
    <xf numFmtId="164" fontId="3" fillId="0" borderId="32" xfId="40" applyFill="1" applyBorder="1"/>
    <xf numFmtId="164" fontId="3" fillId="0" borderId="35" xfId="40" applyFill="1" applyBorder="1"/>
    <xf numFmtId="164" fontId="7" fillId="0" borderId="32" xfId="40" applyFont="1" applyFill="1" applyBorder="1"/>
    <xf numFmtId="3" fontId="3" fillId="0" borderId="32" xfId="40" applyNumberFormat="1" applyFill="1" applyBorder="1"/>
    <xf numFmtId="3" fontId="3" fillId="0" borderId="12" xfId="40" applyNumberFormat="1" applyFill="1" applyBorder="1"/>
    <xf numFmtId="164" fontId="3" fillId="0" borderId="11" xfId="39" applyFont="1" applyFill="1" applyBorder="1" applyAlignment="1">
      <alignment vertical="center"/>
    </xf>
    <xf numFmtId="164" fontId="3" fillId="0" borderId="34" xfId="39" applyFont="1" applyFill="1" applyBorder="1" applyAlignment="1">
      <alignment vertical="center"/>
    </xf>
    <xf numFmtId="164" fontId="3" fillId="0" borderId="32" xfId="39" applyFill="1" applyBorder="1"/>
    <xf numFmtId="164" fontId="3" fillId="0" borderId="35" xfId="39" applyFill="1" applyBorder="1"/>
    <xf numFmtId="0" fontId="0" fillId="0" borderId="32" xfId="0" applyFill="1" applyBorder="1"/>
    <xf numFmtId="164" fontId="3" fillId="0" borderId="0" xfId="39" applyFont="1" applyFill="1" applyAlignment="1">
      <alignment vertical="center"/>
    </xf>
    <xf numFmtId="164" fontId="3" fillId="0" borderId="0" xfId="39" applyFill="1"/>
    <xf numFmtId="4" fontId="3" fillId="0" borderId="0" xfId="39" applyNumberFormat="1" applyFill="1"/>
    <xf numFmtId="3" fontId="3" fillId="0" borderId="38" xfId="40" applyNumberFormat="1" applyFill="1" applyBorder="1"/>
    <xf numFmtId="164" fontId="3" fillId="0" borderId="0" xfId="39" applyFont="1" applyFill="1" applyAlignment="1">
      <alignment horizontal="center"/>
    </xf>
    <xf numFmtId="164" fontId="3" fillId="0" borderId="39" xfId="40" applyBorder="1"/>
    <xf numFmtId="164" fontId="3" fillId="0" borderId="16" xfId="40" applyFont="1" applyBorder="1" applyAlignment="1">
      <alignment vertical="center"/>
    </xf>
    <xf numFmtId="164" fontId="3" fillId="0" borderId="40" xfId="39" applyFont="1" applyBorder="1" applyAlignment="1">
      <alignment vertical="center"/>
    </xf>
    <xf numFmtId="164" fontId="3" fillId="0" borderId="41" xfId="39" applyFont="1" applyBorder="1" applyAlignment="1">
      <alignment vertical="center"/>
    </xf>
    <xf numFmtId="164" fontId="5" fillId="0" borderId="10" xfId="39" applyFont="1" applyBorder="1" applyAlignment="1">
      <alignment horizontal="center"/>
    </xf>
    <xf numFmtId="164" fontId="5" fillId="0" borderId="42" xfId="39" applyFont="1" applyBorder="1" applyAlignment="1">
      <alignment horizontal="center"/>
    </xf>
    <xf numFmtId="0" fontId="5" fillId="0" borderId="10" xfId="0" applyFont="1" applyBorder="1" applyAlignment="1">
      <alignment horizontal="center"/>
    </xf>
    <xf numFmtId="164" fontId="3" fillId="0" borderId="16" xfId="39" applyFont="1" applyBorder="1" applyAlignment="1">
      <alignment vertical="center"/>
    </xf>
    <xf numFmtId="0" fontId="5" fillId="0" borderId="20" xfId="0" applyFont="1" applyBorder="1" applyAlignment="1">
      <alignment horizontal="center"/>
    </xf>
    <xf numFmtId="164" fontId="3" fillId="0" borderId="10" xfId="40" applyBorder="1"/>
    <xf numFmtId="3" fontId="0" fillId="0" borderId="20" xfId="0" applyNumberFormat="1" applyBorder="1"/>
    <xf numFmtId="0" fontId="0" fillId="0" borderId="27" xfId="0" applyBorder="1"/>
    <xf numFmtId="3" fontId="5" fillId="0" borderId="15" xfId="28" applyNumberFormat="1" applyFont="1" applyBorder="1" applyAlignment="1">
      <alignment horizontal="right"/>
    </xf>
    <xf numFmtId="3" fontId="0" fillId="0" borderId="27" xfId="0" applyNumberFormat="1" applyBorder="1"/>
    <xf numFmtId="3" fontId="0" fillId="0" borderId="32" xfId="0" applyNumberFormat="1" applyBorder="1"/>
    <xf numFmtId="3" fontId="5" fillId="0" borderId="15" xfId="40" applyNumberFormat="1" applyFont="1" applyBorder="1"/>
    <xf numFmtId="164" fontId="5" fillId="0" borderId="20" xfId="39" applyFont="1" applyBorder="1" applyAlignment="1">
      <alignment horizontal="center"/>
    </xf>
    <xf numFmtId="3" fontId="3" fillId="0" borderId="23" xfId="39" applyNumberFormat="1" applyBorder="1"/>
    <xf numFmtId="3" fontId="3" fillId="0" borderId="27" xfId="39" applyNumberFormat="1" applyBorder="1"/>
    <xf numFmtId="3" fontId="3" fillId="0" borderId="30" xfId="39" applyNumberFormat="1" applyBorder="1"/>
    <xf numFmtId="3" fontId="3" fillId="0" borderId="15" xfId="39" applyNumberFormat="1" applyBorder="1"/>
    <xf numFmtId="3" fontId="3" fillId="0" borderId="20" xfId="39" applyNumberFormat="1" applyBorder="1"/>
    <xf numFmtId="3" fontId="5" fillId="0" borderId="15" xfId="39" applyNumberFormat="1" applyFont="1" applyBorder="1"/>
    <xf numFmtId="3" fontId="5" fillId="0" borderId="20" xfId="39" applyNumberFormat="1" applyFont="1" applyBorder="1"/>
    <xf numFmtId="0" fontId="5" fillId="0" borderId="20" xfId="0" applyNumberFormat="1" applyFont="1" applyBorder="1" applyAlignment="1">
      <alignment horizontal="center"/>
    </xf>
    <xf numFmtId="3" fontId="0" fillId="0" borderId="12" xfId="0" applyNumberFormat="1" applyBorder="1"/>
    <xf numFmtId="3" fontId="6" fillId="0" borderId="10" xfId="40" applyNumberFormat="1" applyFont="1" applyBorder="1" applyAlignment="1">
      <alignment horizontal="center"/>
    </xf>
    <xf numFmtId="3" fontId="3" fillId="0" borderId="20" xfId="40" applyNumberFormat="1" applyBorder="1"/>
    <xf numFmtId="3" fontId="5" fillId="0" borderId="15" xfId="28" applyNumberFormat="1" applyFont="1" applyFill="1" applyBorder="1" applyAlignment="1">
      <alignment horizontal="right"/>
    </xf>
    <xf numFmtId="3" fontId="5" fillId="0" borderId="15" xfId="28" applyNumberFormat="1" applyFont="1" applyBorder="1" applyAlignment="1">
      <alignment horizontal="right" vertical="center"/>
    </xf>
    <xf numFmtId="3" fontId="0" fillId="0" borderId="33" xfId="0" applyNumberFormat="1" applyBorder="1"/>
    <xf numFmtId="164" fontId="5" fillId="0" borderId="33" xfId="40" applyFont="1" applyBorder="1" applyAlignment="1">
      <alignment horizontal="center"/>
    </xf>
    <xf numFmtId="1" fontId="5" fillId="0" borderId="20" xfId="0" applyNumberFormat="1" applyFont="1" applyBorder="1" applyAlignment="1">
      <alignment horizontal="center"/>
    </xf>
    <xf numFmtId="3" fontId="3" fillId="0" borderId="20" xfId="0" applyNumberFormat="1" applyFont="1" applyBorder="1"/>
    <xf numFmtId="3" fontId="3" fillId="0" borderId="20" xfId="33" applyNumberFormat="1" applyFont="1" applyBorder="1"/>
    <xf numFmtId="3" fontId="0" fillId="0" borderId="27" xfId="33" applyNumberFormat="1" applyFont="1" applyBorder="1"/>
    <xf numFmtId="3" fontId="0" fillId="0" borderId="20" xfId="33" applyNumberFormat="1" applyFont="1" applyBorder="1"/>
    <xf numFmtId="3" fontId="5" fillId="0" borderId="20" xfId="28" applyNumberFormat="1" applyFont="1" applyBorder="1" applyAlignment="1">
      <alignment horizontal="right"/>
    </xf>
    <xf numFmtId="3" fontId="3" fillId="0" borderId="42" xfId="40" applyNumberFormat="1" applyBorder="1"/>
    <xf numFmtId="164" fontId="3" fillId="0" borderId="12" xfId="40" applyFill="1" applyBorder="1"/>
    <xf numFmtId="164" fontId="3" fillId="0" borderId="10" xfId="39" applyBorder="1"/>
    <xf numFmtId="3" fontId="5" fillId="0" borderId="12" xfId="28" applyNumberFormat="1" applyFont="1" applyBorder="1" applyAlignment="1">
      <alignment horizontal="right"/>
    </xf>
    <xf numFmtId="3" fontId="5" fillId="0" borderId="16" xfId="28" applyNumberFormat="1" applyFont="1" applyBorder="1" applyAlignment="1">
      <alignment horizontal="right"/>
    </xf>
    <xf numFmtId="3" fontId="3" fillId="0" borderId="20" xfId="28" applyNumberFormat="1" applyFont="1" applyBorder="1" applyAlignment="1">
      <alignment horizontal="right"/>
    </xf>
    <xf numFmtId="3" fontId="3" fillId="0" borderId="0" xfId="28" applyNumberFormat="1" applyFont="1" applyBorder="1" applyAlignment="1">
      <alignment horizontal="right"/>
    </xf>
    <xf numFmtId="3" fontId="3" fillId="0" borderId="23" xfId="33" applyNumberFormat="1" applyBorder="1" applyAlignment="1">
      <alignment horizontal="right"/>
    </xf>
    <xf numFmtId="3" fontId="3" fillId="0" borderId="30" xfId="28" applyNumberFormat="1" applyFont="1" applyBorder="1" applyAlignment="1">
      <alignment horizontal="right"/>
    </xf>
    <xf numFmtId="3" fontId="3" fillId="0" borderId="31" xfId="28" applyNumberFormat="1" applyFont="1" applyBorder="1" applyAlignment="1">
      <alignment horizontal="right"/>
    </xf>
    <xf numFmtId="3" fontId="0" fillId="0" borderId="30" xfId="0" applyNumberFormat="1" applyBorder="1"/>
    <xf numFmtId="3" fontId="3" fillId="0" borderId="15" xfId="40" applyNumberFormat="1" applyBorder="1"/>
    <xf numFmtId="3" fontId="3" fillId="0" borderId="23" xfId="28" applyNumberFormat="1" applyFont="1" applyBorder="1" applyAlignment="1">
      <alignment horizontal="right"/>
    </xf>
    <xf numFmtId="3" fontId="3" fillId="0" borderId="24" xfId="28" applyNumberFormat="1" applyFont="1" applyBorder="1" applyAlignment="1">
      <alignment horizontal="right"/>
    </xf>
    <xf numFmtId="3" fontId="3" fillId="0" borderId="30" xfId="40" applyNumberFormat="1" applyBorder="1"/>
    <xf numFmtId="3" fontId="3" fillId="0" borderId="24" xfId="39" applyNumberFormat="1" applyBorder="1"/>
    <xf numFmtId="3" fontId="3" fillId="0" borderId="32" xfId="39" applyNumberFormat="1" applyBorder="1"/>
    <xf numFmtId="3" fontId="3" fillId="0" borderId="35" xfId="39" applyNumberFormat="1" applyBorder="1"/>
    <xf numFmtId="3" fontId="5" fillId="0" borderId="20" xfId="40" applyNumberFormat="1" applyFont="1" applyBorder="1" applyAlignment="1">
      <alignment horizontal="center"/>
    </xf>
    <xf numFmtId="3" fontId="6" fillId="0" borderId="13" xfId="40" applyNumberFormat="1" applyFont="1" applyBorder="1" applyAlignment="1">
      <alignment horizontal="center"/>
    </xf>
    <xf numFmtId="3" fontId="3" fillId="0" borderId="24" xfId="40" applyNumberFormat="1" applyBorder="1"/>
    <xf numFmtId="3" fontId="3" fillId="0" borderId="35" xfId="40" applyNumberFormat="1" applyFill="1" applyBorder="1"/>
    <xf numFmtId="3" fontId="7" fillId="0" borderId="32" xfId="40" applyNumberFormat="1" applyFont="1" applyFill="1" applyBorder="1"/>
    <xf numFmtId="3" fontId="3" fillId="0" borderId="27" xfId="28" applyNumberFormat="1" applyFont="1" applyBorder="1" applyAlignment="1">
      <alignment horizontal="right"/>
    </xf>
    <xf numFmtId="3" fontId="5" fillId="0" borderId="16" xfId="27" applyNumberFormat="1" applyFont="1" applyBorder="1" applyAlignment="1">
      <alignment horizontal="right"/>
    </xf>
    <xf numFmtId="3" fontId="5" fillId="0" borderId="15" xfId="27" applyNumberFormat="1" applyFont="1" applyBorder="1" applyAlignment="1">
      <alignment horizontal="right"/>
    </xf>
    <xf numFmtId="3" fontId="3" fillId="0" borderId="20" xfId="27" applyNumberFormat="1" applyFont="1" applyBorder="1" applyAlignment="1">
      <alignment horizontal="right"/>
    </xf>
    <xf numFmtId="3" fontId="3" fillId="0" borderId="0" xfId="27" applyNumberFormat="1" applyFont="1" applyBorder="1" applyAlignment="1">
      <alignment horizontal="right"/>
    </xf>
    <xf numFmtId="3" fontId="5" fillId="0" borderId="37" xfId="27" applyNumberFormat="1" applyFont="1" applyBorder="1" applyAlignment="1">
      <alignment horizontal="right"/>
    </xf>
    <xf numFmtId="3" fontId="3" fillId="0" borderId="23" xfId="27" applyNumberFormat="1" applyFont="1" applyBorder="1" applyAlignment="1">
      <alignment horizontal="right"/>
    </xf>
    <xf numFmtId="3" fontId="3" fillId="0" borderId="24" xfId="27" applyNumberFormat="1" applyFont="1" applyBorder="1" applyAlignment="1">
      <alignment horizontal="right"/>
    </xf>
    <xf numFmtId="3" fontId="3" fillId="0" borderId="27" xfId="27" applyNumberFormat="1" applyFont="1" applyBorder="1" applyAlignment="1">
      <alignment horizontal="right"/>
    </xf>
    <xf numFmtId="3" fontId="3" fillId="0" borderId="43" xfId="27" applyNumberFormat="1" applyFont="1" applyBorder="1" applyAlignment="1">
      <alignment horizontal="right"/>
    </xf>
    <xf numFmtId="3" fontId="3" fillId="0" borderId="30" xfId="27" applyNumberFormat="1" applyFont="1" applyBorder="1" applyAlignment="1">
      <alignment horizontal="right"/>
    </xf>
    <xf numFmtId="3" fontId="3" fillId="0" borderId="31" xfId="27" applyNumberFormat="1" applyFont="1" applyBorder="1" applyAlignment="1">
      <alignment horizontal="right"/>
    </xf>
    <xf numFmtId="3" fontId="3" fillId="0" borderId="27" xfId="39" applyNumberFormat="1" applyFont="1" applyBorder="1"/>
    <xf numFmtId="3" fontId="3" fillId="0" borderId="20" xfId="39" applyNumberFormat="1" applyFont="1" applyBorder="1"/>
    <xf numFmtId="1" fontId="5" fillId="0" borderId="10" xfId="40" applyNumberFormat="1" applyFont="1" applyBorder="1" applyAlignment="1">
      <alignment horizontal="right"/>
    </xf>
    <xf numFmtId="1" fontId="5" fillId="0" borderId="20" xfId="40" applyNumberFormat="1" applyFont="1" applyBorder="1" applyAlignment="1">
      <alignment horizontal="right"/>
    </xf>
    <xf numFmtId="3" fontId="3" fillId="0" borderId="23" xfId="33" applyNumberFormat="1" applyBorder="1"/>
    <xf numFmtId="3" fontId="3" fillId="0" borderId="27" xfId="33" applyNumberFormat="1" applyBorder="1"/>
    <xf numFmtId="3" fontId="3" fillId="0" borderId="30" xfId="33" applyNumberFormat="1" applyBorder="1"/>
    <xf numFmtId="164" fontId="7" fillId="0" borderId="22" xfId="40" applyFont="1" applyBorder="1" applyAlignment="1" applyProtection="1">
      <alignment horizontal="left" vertical="center"/>
    </xf>
    <xf numFmtId="164" fontId="7" fillId="0" borderId="25" xfId="40" applyFont="1" applyBorder="1" applyAlignment="1" applyProtection="1">
      <alignment horizontal="left" vertical="top"/>
    </xf>
    <xf numFmtId="164" fontId="7" fillId="0" borderId="26" xfId="40" applyFont="1" applyBorder="1" applyAlignment="1" applyProtection="1">
      <alignment horizontal="left" vertical="top" wrapText="1"/>
    </xf>
    <xf numFmtId="166" fontId="3" fillId="0" borderId="23" xfId="33" applyNumberFormat="1" applyBorder="1" applyAlignment="1">
      <alignment horizontal="right" vertical="top"/>
    </xf>
    <xf numFmtId="166" fontId="33" fillId="0" borderId="23" xfId="33" applyNumberFormat="1" applyFont="1" applyBorder="1" applyAlignment="1">
      <alignment horizontal="right" vertical="top"/>
    </xf>
    <xf numFmtId="3" fontId="33" fillId="0" borderId="20" xfId="0" applyNumberFormat="1" applyFont="1" applyBorder="1" applyAlignment="1">
      <alignment vertical="top"/>
    </xf>
    <xf numFmtId="38" fontId="34" fillId="0" borderId="15" xfId="28" applyNumberFormat="1" applyFont="1" applyBorder="1" applyAlignment="1">
      <alignment horizontal="right"/>
    </xf>
    <xf numFmtId="3" fontId="34" fillId="0" borderId="15" xfId="28" applyNumberFormat="1" applyFont="1" applyFill="1" applyBorder="1" applyAlignment="1">
      <alignment horizontal="right"/>
    </xf>
    <xf numFmtId="3" fontId="34" fillId="0" borderId="15" xfId="28" applyNumberFormat="1" applyFont="1" applyBorder="1" applyAlignment="1">
      <alignment horizontal="right"/>
    </xf>
    <xf numFmtId="3" fontId="7" fillId="0" borderId="0" xfId="40" applyNumberFormat="1" applyFont="1" applyFill="1"/>
    <xf numFmtId="164" fontId="35" fillId="0" borderId="0" xfId="40" applyFont="1" applyFill="1" applyAlignment="1">
      <alignment vertical="center"/>
    </xf>
    <xf numFmtId="3" fontId="35" fillId="0" borderId="0" xfId="40" applyNumberFormat="1" applyFont="1" applyFill="1"/>
    <xf numFmtId="3" fontId="35" fillId="0" borderId="0" xfId="40" applyNumberFormat="1" applyFont="1"/>
    <xf numFmtId="164" fontId="35" fillId="0" borderId="0" xfId="40" applyFont="1"/>
    <xf numFmtId="164" fontId="33" fillId="0" borderId="0" xfId="40" applyFont="1" applyFill="1" applyAlignment="1">
      <alignment horizontal="left" vertical="center"/>
    </xf>
    <xf numFmtId="164" fontId="33" fillId="0" borderId="0" xfId="40" applyFont="1" applyFill="1" applyAlignment="1">
      <alignment vertical="center"/>
    </xf>
    <xf numFmtId="3" fontId="33" fillId="0" borderId="0" xfId="40" quotePrefix="1" applyNumberFormat="1" applyFont="1" applyFill="1" applyAlignment="1">
      <alignment horizontal="right"/>
    </xf>
    <xf numFmtId="3" fontId="33" fillId="0" borderId="0" xfId="40" applyNumberFormat="1" applyFont="1"/>
    <xf numFmtId="3" fontId="33" fillId="0" borderId="0" xfId="40" applyNumberFormat="1" applyFont="1" applyFill="1"/>
    <xf numFmtId="164" fontId="36" fillId="0" borderId="0" xfId="40" applyFont="1" applyFill="1" applyAlignment="1">
      <alignment horizontal="left" vertical="center"/>
    </xf>
    <xf numFmtId="164" fontId="36" fillId="0" borderId="0" xfId="40" applyFont="1" applyFill="1" applyAlignment="1">
      <alignment vertical="center"/>
    </xf>
    <xf numFmtId="3" fontId="36" fillId="0" borderId="0" xfId="40" applyNumberFormat="1" applyFont="1" applyFill="1"/>
    <xf numFmtId="3" fontId="36" fillId="0" borderId="0" xfId="40" applyNumberFormat="1" applyFont="1"/>
    <xf numFmtId="164" fontId="3" fillId="0" borderId="21" xfId="40" quotePrefix="1" applyFont="1" applyBorder="1" applyAlignment="1">
      <alignment vertical="center"/>
    </xf>
    <xf numFmtId="164" fontId="3" fillId="0" borderId="0" xfId="40" quotePrefix="1" applyFont="1" applyBorder="1" applyAlignment="1">
      <alignment vertical="center"/>
    </xf>
    <xf numFmtId="3" fontId="3" fillId="0" borderId="23" xfId="33" applyNumberFormat="1" applyBorder="1" applyAlignment="1">
      <alignment horizontal="right" vertical="top"/>
    </xf>
    <xf numFmtId="0" fontId="0" fillId="0" borderId="0" xfId="0" applyAlignment="1">
      <alignment vertical="top"/>
    </xf>
    <xf numFmtId="168" fontId="5" fillId="0" borderId="15" xfId="28" applyNumberFormat="1" applyFont="1" applyBorder="1" applyAlignment="1">
      <alignment horizontal="right"/>
    </xf>
    <xf numFmtId="164" fontId="3" fillId="0" borderId="0" xfId="40" quotePrefix="1" applyFont="1" applyFill="1" applyAlignment="1">
      <alignment vertical="center"/>
    </xf>
    <xf numFmtId="3" fontId="0" fillId="0" borderId="20" xfId="0" applyNumberFormat="1" applyFill="1" applyBorder="1"/>
    <xf numFmtId="0" fontId="0" fillId="0" borderId="20" xfId="0" applyFill="1" applyBorder="1"/>
    <xf numFmtId="0" fontId="0" fillId="0" borderId="12" xfId="0" applyBorder="1" applyAlignment="1">
      <alignment horizontal="right"/>
    </xf>
    <xf numFmtId="3" fontId="0" fillId="0" borderId="20" xfId="0" applyNumberFormat="1" applyBorder="1" applyProtection="1">
      <protection locked="0"/>
    </xf>
    <xf numFmtId="3" fontId="0" fillId="0" borderId="20" xfId="0" applyNumberFormat="1" applyFill="1" applyBorder="1" applyProtection="1">
      <protection locked="0"/>
    </xf>
    <xf numFmtId="3" fontId="0" fillId="0" borderId="27" xfId="0" applyNumberFormat="1" applyBorder="1" applyProtection="1">
      <protection locked="0"/>
    </xf>
    <xf numFmtId="3" fontId="0" fillId="0" borderId="27" xfId="0" applyNumberFormat="1" applyFill="1" applyBorder="1" applyProtection="1">
      <protection locked="0"/>
    </xf>
    <xf numFmtId="166" fontId="3" fillId="0" borderId="23" xfId="33" applyNumberFormat="1" applyBorder="1" applyAlignment="1" applyProtection="1">
      <alignment horizontal="right"/>
      <protection locked="0"/>
    </xf>
    <xf numFmtId="0" fontId="0" fillId="0" borderId="32" xfId="0" applyBorder="1" applyProtection="1">
      <protection locked="0"/>
    </xf>
    <xf numFmtId="0" fontId="0" fillId="0" borderId="32" xfId="0" applyFill="1" applyBorder="1" applyProtection="1">
      <protection locked="0"/>
    </xf>
    <xf numFmtId="3" fontId="0" fillId="0" borderId="32" xfId="0" applyNumberFormat="1" applyBorder="1" applyProtection="1">
      <protection locked="0"/>
    </xf>
    <xf numFmtId="3" fontId="0" fillId="0" borderId="32" xfId="0" applyNumberFormat="1" applyFill="1" applyBorder="1" applyProtection="1">
      <protection locked="0"/>
    </xf>
    <xf numFmtId="3" fontId="33" fillId="0" borderId="20" xfId="0" applyNumberFormat="1" applyFont="1" applyBorder="1" applyAlignment="1" applyProtection="1">
      <alignment vertical="top"/>
      <protection locked="0"/>
    </xf>
    <xf numFmtId="0" fontId="0" fillId="0" borderId="30" xfId="0" applyBorder="1" applyProtection="1">
      <protection locked="0"/>
    </xf>
    <xf numFmtId="38" fontId="5" fillId="0" borderId="15" xfId="28" applyNumberFormat="1" applyFont="1" applyBorder="1" applyAlignment="1" applyProtection="1">
      <alignment horizontal="right"/>
      <protection locked="0"/>
    </xf>
    <xf numFmtId="38" fontId="5" fillId="0" borderId="15" xfId="28" applyNumberFormat="1" applyFont="1" applyFill="1" applyBorder="1" applyAlignment="1" applyProtection="1">
      <alignment horizontal="right"/>
      <protection locked="0"/>
    </xf>
    <xf numFmtId="0" fontId="0" fillId="0" borderId="20" xfId="0" applyBorder="1" applyProtection="1">
      <protection locked="0"/>
    </xf>
    <xf numFmtId="0" fontId="0" fillId="0" borderId="20" xfId="0" applyFill="1" applyBorder="1" applyProtection="1">
      <protection locked="0"/>
    </xf>
    <xf numFmtId="3" fontId="5" fillId="0" borderId="15" xfId="28" applyNumberFormat="1" applyFont="1" applyBorder="1" applyAlignment="1" applyProtection="1">
      <alignment horizontal="right"/>
      <protection locked="0"/>
    </xf>
    <xf numFmtId="3" fontId="5" fillId="0" borderId="15" xfId="28" applyNumberFormat="1" applyFont="1" applyFill="1" applyBorder="1" applyAlignment="1" applyProtection="1">
      <alignment horizontal="right"/>
      <protection locked="0"/>
    </xf>
    <xf numFmtId="168" fontId="5" fillId="0" borderId="15" xfId="28" applyNumberFormat="1" applyFont="1" applyBorder="1" applyAlignment="1" applyProtection="1">
      <alignment horizontal="right"/>
      <protection locked="0"/>
    </xf>
    <xf numFmtId="3" fontId="34" fillId="0" borderId="15" xfId="28" applyNumberFormat="1" applyFont="1" applyBorder="1" applyAlignment="1" applyProtection="1">
      <alignment horizontal="right"/>
      <protection locked="0"/>
    </xf>
    <xf numFmtId="3" fontId="3" fillId="0" borderId="20" xfId="50" applyNumberFormat="1" applyFill="1" applyBorder="1" applyProtection="1">
      <protection locked="0"/>
    </xf>
    <xf numFmtId="3" fontId="3" fillId="0" borderId="27" xfId="50" applyNumberFormat="1" applyFill="1" applyBorder="1" applyProtection="1">
      <protection locked="0"/>
    </xf>
    <xf numFmtId="0" fontId="3" fillId="0" borderId="20" xfId="50" applyFill="1" applyBorder="1"/>
    <xf numFmtId="0" fontId="3" fillId="0" borderId="32" xfId="50" applyFill="1" applyBorder="1" applyProtection="1">
      <protection locked="0"/>
    </xf>
    <xf numFmtId="0" fontId="3" fillId="0" borderId="20" xfId="50" applyFill="1" applyBorder="1" applyProtection="1">
      <protection locked="0"/>
    </xf>
    <xf numFmtId="3" fontId="3" fillId="0" borderId="20" xfId="50" applyNumberFormat="1" applyBorder="1" applyProtection="1">
      <protection locked="0"/>
    </xf>
    <xf numFmtId="3" fontId="3" fillId="0" borderId="27" xfId="50" applyNumberFormat="1" applyBorder="1" applyProtection="1">
      <protection locked="0"/>
    </xf>
    <xf numFmtId="3" fontId="3" fillId="0" borderId="20" xfId="50" applyNumberFormat="1" applyBorder="1"/>
    <xf numFmtId="3" fontId="3" fillId="0" borderId="32" xfId="50" applyNumberFormat="1" applyBorder="1" applyProtection="1">
      <protection locked="0"/>
    </xf>
    <xf numFmtId="3" fontId="3" fillId="0" borderId="20" xfId="51" applyNumberFormat="1" applyBorder="1"/>
    <xf numFmtId="3" fontId="3" fillId="0" borderId="20" xfId="51" applyNumberFormat="1" applyBorder="1" applyProtection="1">
      <protection locked="0"/>
    </xf>
    <xf numFmtId="3" fontId="3" fillId="0" borderId="27" xfId="51" applyNumberFormat="1" applyBorder="1" applyProtection="1">
      <protection locked="0"/>
    </xf>
    <xf numFmtId="3" fontId="3" fillId="0" borderId="32" xfId="51" applyNumberFormat="1" applyBorder="1" applyProtection="1">
      <protection locked="0"/>
    </xf>
    <xf numFmtId="3" fontId="3" fillId="0" borderId="10" xfId="51" applyNumberFormat="1" applyBorder="1"/>
    <xf numFmtId="3" fontId="3" fillId="0" borderId="10" xfId="50" applyNumberFormat="1" applyBorder="1"/>
    <xf numFmtId="3" fontId="3" fillId="0" borderId="20" xfId="50" applyNumberFormat="1" applyFill="1" applyBorder="1"/>
    <xf numFmtId="3" fontId="3" fillId="0" borderId="32" xfId="50" applyNumberFormat="1" applyFill="1" applyBorder="1" applyProtection="1">
      <protection locked="0"/>
    </xf>
    <xf numFmtId="164" fontId="40" fillId="0" borderId="0" xfId="41" applyFont="1"/>
    <xf numFmtId="170" fontId="35" fillId="0" borderId="0" xfId="40" applyNumberFormat="1" applyFont="1"/>
    <xf numFmtId="164" fontId="39" fillId="0" borderId="0" xfId="39" applyFont="1" applyFill="1" applyAlignment="1">
      <alignment vertical="center"/>
    </xf>
    <xf numFmtId="164" fontId="3" fillId="0" borderId="12" xfId="40" applyFill="1" applyBorder="1" applyProtection="1">
      <protection locked="0"/>
    </xf>
    <xf numFmtId="49" fontId="0" fillId="0" borderId="0" xfId="0" applyNumberFormat="1" applyProtection="1">
      <protection locked="0"/>
    </xf>
    <xf numFmtId="3" fontId="3" fillId="0" borderId="10" xfId="50" applyNumberFormat="1" applyBorder="1" applyProtection="1">
      <protection locked="0"/>
    </xf>
    <xf numFmtId="3" fontId="3" fillId="0" borderId="10" xfId="51" applyNumberFormat="1" applyBorder="1" applyProtection="1">
      <protection locked="0"/>
    </xf>
    <xf numFmtId="3" fontId="3" fillId="0" borderId="32" xfId="40" applyNumberFormat="1" applyFill="1" applyBorder="1" applyProtection="1">
      <protection locked="0"/>
    </xf>
    <xf numFmtId="164" fontId="5" fillId="0" borderId="10" xfId="40" applyFont="1" applyBorder="1" applyAlignment="1" applyProtection="1">
      <alignment horizontal="center"/>
    </xf>
    <xf numFmtId="164" fontId="6" fillId="0" borderId="10" xfId="40" applyFont="1" applyBorder="1" applyAlignment="1" applyProtection="1">
      <alignment horizontal="center"/>
    </xf>
    <xf numFmtId="0" fontId="5" fillId="0" borderId="20" xfId="0" applyFont="1" applyBorder="1" applyAlignment="1" applyProtection="1">
      <alignment horizontal="center"/>
    </xf>
    <xf numFmtId="0" fontId="0" fillId="0" borderId="12" xfId="0" applyBorder="1" applyAlignment="1" applyProtection="1">
      <alignment horizontal="right"/>
    </xf>
    <xf numFmtId="0" fontId="0" fillId="0" borderId="12" xfId="0" applyBorder="1" applyProtection="1"/>
    <xf numFmtId="164" fontId="6" fillId="0" borderId="15" xfId="40" applyFont="1" applyBorder="1" applyAlignment="1" applyProtection="1">
      <alignment horizontal="center"/>
    </xf>
    <xf numFmtId="3" fontId="5" fillId="0" borderId="15" xfId="28" applyNumberFormat="1" applyFont="1" applyBorder="1" applyAlignment="1" applyProtection="1">
      <alignment horizontal="right"/>
    </xf>
    <xf numFmtId="0" fontId="0" fillId="0" borderId="12" xfId="0" applyBorder="1" applyAlignment="1">
      <alignment horizontal="center"/>
    </xf>
    <xf numFmtId="0" fontId="0" fillId="0" borderId="12" xfId="0" applyBorder="1" applyAlignment="1" applyProtection="1">
      <alignment horizontal="center"/>
    </xf>
    <xf numFmtId="164" fontId="3" fillId="0" borderId="0" xfId="39" applyAlignment="1">
      <alignment horizontal="center"/>
    </xf>
    <xf numFmtId="164" fontId="3" fillId="0" borderId="13" xfId="40" applyFont="1" applyBorder="1" applyAlignment="1">
      <alignment horizontal="left" vertical="center"/>
    </xf>
    <xf numFmtId="164" fontId="3" fillId="0" borderId="12" xfId="40" applyBorder="1" applyAlignment="1">
      <alignment horizontal="center"/>
    </xf>
    <xf numFmtId="164" fontId="3" fillId="0" borderId="0" xfId="40" applyAlignment="1">
      <alignment horizontal="center"/>
    </xf>
    <xf numFmtId="0" fontId="0" fillId="0" borderId="0" xfId="0" applyAlignment="1">
      <alignment horizontal="center"/>
    </xf>
    <xf numFmtId="3" fontId="0" fillId="0" borderId="12" xfId="0" applyNumberFormat="1" applyBorder="1" applyAlignment="1">
      <alignment horizontal="center"/>
    </xf>
    <xf numFmtId="3" fontId="3" fillId="0" borderId="20" xfId="40" applyNumberFormat="1" applyBorder="1" applyAlignment="1">
      <alignment horizontal="center"/>
    </xf>
    <xf numFmtId="164" fontId="3" fillId="0" borderId="0" xfId="40" applyFont="1" applyAlignment="1">
      <alignment horizontal="center"/>
    </xf>
    <xf numFmtId="164" fontId="3" fillId="0" borderId="0" xfId="40" applyFont="1" applyAlignment="1" applyProtection="1">
      <alignment horizontal="center"/>
    </xf>
    <xf numFmtId="3" fontId="0" fillId="0" borderId="33" xfId="0" applyNumberFormat="1" applyBorder="1" applyProtection="1">
      <protection locked="0"/>
    </xf>
    <xf numFmtId="164" fontId="39" fillId="0" borderId="32" xfId="40" applyFont="1" applyFill="1" applyBorder="1"/>
    <xf numFmtId="164" fontId="39" fillId="0" borderId="32" xfId="40" applyFont="1" applyFill="1" applyBorder="1" applyProtection="1">
      <protection locked="0"/>
    </xf>
    <xf numFmtId="3" fontId="3" fillId="0" borderId="20" xfId="50" applyNumberFormat="1" applyBorder="1" applyProtection="1"/>
    <xf numFmtId="3" fontId="3" fillId="0" borderId="32" xfId="50" applyNumberFormat="1" applyBorder="1" applyProtection="1"/>
    <xf numFmtId="3" fontId="3" fillId="0" borderId="10" xfId="51" applyNumberFormat="1" applyBorder="1" applyProtection="1"/>
    <xf numFmtId="164" fontId="3" fillId="0" borderId="12" xfId="40" applyFill="1" applyBorder="1" applyProtection="1"/>
    <xf numFmtId="3" fontId="3" fillId="0" borderId="20" xfId="51" applyNumberFormat="1" applyBorder="1" applyProtection="1"/>
    <xf numFmtId="164" fontId="35" fillId="0" borderId="0" xfId="40" applyFont="1" applyAlignment="1">
      <alignment horizontal="center"/>
    </xf>
    <xf numFmtId="164" fontId="3" fillId="0" borderId="20" xfId="40" applyFont="1" applyBorder="1" applyAlignment="1">
      <alignment horizontal="center"/>
    </xf>
    <xf numFmtId="0" fontId="3" fillId="0" borderId="12" xfId="0" applyFont="1" applyBorder="1" applyAlignment="1">
      <alignment horizontal="center"/>
    </xf>
    <xf numFmtId="3" fontId="5" fillId="0" borderId="15" xfId="28" applyNumberFormat="1" applyFont="1" applyBorder="1" applyAlignment="1" applyProtection="1">
      <alignment horizontal="right"/>
      <protection locked="0"/>
    </xf>
    <xf numFmtId="3" fontId="3" fillId="0" borderId="20" xfId="50" applyNumberFormat="1" applyBorder="1" applyProtection="1">
      <protection locked="0"/>
    </xf>
    <xf numFmtId="3" fontId="3" fillId="0" borderId="32" xfId="50" applyNumberFormat="1" applyBorder="1" applyProtection="1">
      <protection locked="0"/>
    </xf>
    <xf numFmtId="3" fontId="3" fillId="0" borderId="27" xfId="50" applyNumberFormat="1" applyBorder="1" applyProtection="1">
      <protection locked="0"/>
    </xf>
    <xf numFmtId="3" fontId="5" fillId="0" borderId="15" xfId="28" applyNumberFormat="1" applyFont="1" applyBorder="1" applyAlignment="1" applyProtection="1">
      <alignment horizontal="right"/>
      <protection locked="0"/>
    </xf>
    <xf numFmtId="3" fontId="3" fillId="0" borderId="20" xfId="50" applyNumberFormat="1" applyBorder="1" applyProtection="1">
      <protection locked="0"/>
    </xf>
    <xf numFmtId="3" fontId="3" fillId="0" borderId="32" xfId="50" applyNumberFormat="1" applyBorder="1" applyProtection="1">
      <protection locked="0"/>
    </xf>
    <xf numFmtId="3" fontId="3" fillId="0" borderId="27" xfId="50" applyNumberFormat="1" applyBorder="1" applyProtection="1">
      <protection locked="0"/>
    </xf>
    <xf numFmtId="3" fontId="5" fillId="0" borderId="15" xfId="28" applyNumberFormat="1" applyFont="1" applyBorder="1" applyAlignment="1" applyProtection="1">
      <alignment horizontal="right"/>
      <protection locked="0"/>
    </xf>
    <xf numFmtId="3" fontId="3" fillId="0" borderId="20" xfId="51" applyNumberFormat="1" applyBorder="1" applyProtection="1">
      <protection locked="0"/>
    </xf>
    <xf numFmtId="3" fontId="3" fillId="0" borderId="32" xfId="51" applyNumberFormat="1" applyBorder="1" applyProtection="1">
      <protection locked="0"/>
    </xf>
    <xf numFmtId="3" fontId="3" fillId="0" borderId="27" xfId="51" applyNumberFormat="1" applyBorder="1" applyProtection="1">
      <protection locked="0"/>
    </xf>
    <xf numFmtId="164" fontId="3" fillId="0" borderId="0" xfId="39"/>
    <xf numFmtId="3" fontId="5" fillId="0" borderId="15" xfId="28" applyNumberFormat="1" applyFont="1" applyBorder="1" applyAlignment="1" applyProtection="1">
      <alignment horizontal="right"/>
      <protection locked="0"/>
    </xf>
    <xf numFmtId="3" fontId="3" fillId="0" borderId="20" xfId="50" applyNumberFormat="1" applyBorder="1" applyProtection="1">
      <protection locked="0"/>
    </xf>
    <xf numFmtId="3" fontId="3" fillId="0" borderId="32" xfId="50" applyNumberFormat="1" applyBorder="1" applyProtection="1">
      <protection locked="0"/>
    </xf>
    <xf numFmtId="3" fontId="3" fillId="0" borderId="27" xfId="50" applyNumberFormat="1" applyBorder="1" applyProtection="1">
      <protection locked="0"/>
    </xf>
    <xf numFmtId="3" fontId="5" fillId="0" borderId="15" xfId="28" applyNumberFormat="1" applyFont="1" applyBorder="1" applyAlignment="1" applyProtection="1">
      <alignment horizontal="right"/>
      <protection locked="0"/>
    </xf>
    <xf numFmtId="3" fontId="3" fillId="0" borderId="20" xfId="50" applyNumberFormat="1" applyBorder="1" applyProtection="1">
      <protection locked="0"/>
    </xf>
    <xf numFmtId="3" fontId="3" fillId="0" borderId="32" xfId="50" applyNumberFormat="1" applyBorder="1" applyProtection="1">
      <protection locked="0"/>
    </xf>
    <xf numFmtId="3" fontId="3" fillId="0" borderId="27" xfId="50" applyNumberFormat="1" applyBorder="1" applyProtection="1">
      <protection locked="0"/>
    </xf>
    <xf numFmtId="0" fontId="0" fillId="0" borderId="12" xfId="0" applyBorder="1" applyAlignment="1">
      <alignment horizontal="center" vertical="center"/>
    </xf>
    <xf numFmtId="164" fontId="5" fillId="24" borderId="19" xfId="40" applyFont="1" applyFill="1" applyBorder="1" applyAlignment="1" applyProtection="1">
      <alignment horizontal="left" vertical="center"/>
    </xf>
    <xf numFmtId="164" fontId="5" fillId="24" borderId="10" xfId="40" applyFont="1" applyFill="1" applyBorder="1" applyAlignment="1">
      <alignment horizontal="center"/>
    </xf>
    <xf numFmtId="164" fontId="5" fillId="24" borderId="14" xfId="40" applyFont="1" applyFill="1" applyBorder="1" applyAlignment="1" applyProtection="1">
      <alignment horizontal="left" vertical="center"/>
    </xf>
    <xf numFmtId="164" fontId="35" fillId="0" borderId="0" xfId="40" applyFont="1" applyFill="1" applyAlignment="1">
      <alignment horizontal="left" vertical="top" wrapText="1"/>
    </xf>
  </cellXfs>
  <cellStyles count="14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1 2" xfId="53"/>
    <cellStyle name="Akzent1 3" xfId="54"/>
    <cellStyle name="Akzent2" xfId="20" builtinId="33" customBuiltin="1"/>
    <cellStyle name="Akzent2 2" xfId="55"/>
    <cellStyle name="Akzent2 3" xfId="56"/>
    <cellStyle name="Akzent3" xfId="21" builtinId="37" customBuiltin="1"/>
    <cellStyle name="Akzent3 2" xfId="57"/>
    <cellStyle name="Akzent3 3" xfId="58"/>
    <cellStyle name="Akzent4" xfId="22" builtinId="41" customBuiltin="1"/>
    <cellStyle name="Akzent4 2" xfId="59"/>
    <cellStyle name="Akzent4 3" xfId="60"/>
    <cellStyle name="Akzent5" xfId="23" builtinId="45" customBuiltin="1"/>
    <cellStyle name="Akzent5 2" xfId="61"/>
    <cellStyle name="Akzent5 3" xfId="62"/>
    <cellStyle name="Akzent6" xfId="24" builtinId="49" customBuiltin="1"/>
    <cellStyle name="Akzent6 2" xfId="63"/>
    <cellStyle name="Akzent6 3" xfId="64"/>
    <cellStyle name="Ausgabe" xfId="25" builtinId="21" customBuiltin="1"/>
    <cellStyle name="Ausgabe 2" xfId="65"/>
    <cellStyle name="Ausgabe 3" xfId="66"/>
    <cellStyle name="Berechnung" xfId="26" builtinId="22" customBuiltin="1"/>
    <cellStyle name="Berechnung 2" xfId="67"/>
    <cellStyle name="Berechnung 3" xfId="68"/>
    <cellStyle name="Dezimal 2" xfId="69"/>
    <cellStyle name="Dezimal_Bilan" xfId="27"/>
    <cellStyle name="Dezimal_Bilanz" xfId="28"/>
    <cellStyle name="Eingabe" xfId="29" builtinId="20" customBuiltin="1"/>
    <cellStyle name="Eingabe 2" xfId="70"/>
    <cellStyle name="Eingabe 3" xfId="71"/>
    <cellStyle name="Ergebnis" xfId="30" builtinId="25" customBuiltin="1"/>
    <cellStyle name="Ergebnis 2" xfId="72"/>
    <cellStyle name="Ergebnis 3" xfId="73"/>
    <cellStyle name="Erklärender Text" xfId="31" builtinId="53" customBuiltin="1"/>
    <cellStyle name="Erklärender Text 2" xfId="74"/>
    <cellStyle name="Erklärender Text 3" xfId="75"/>
    <cellStyle name="Gut" xfId="32" builtinId="26" customBuiltin="1"/>
    <cellStyle name="Gut 2" xfId="76"/>
    <cellStyle name="Gut 3" xfId="77"/>
    <cellStyle name="Komma" xfId="33" builtinId="3"/>
    <cellStyle name="Komma 2" xfId="124"/>
    <cellStyle name="Komma 2 2" xfId="126"/>
    <cellStyle name="Komma 3" xfId="127"/>
    <cellStyle name="Komma 4" xfId="130"/>
    <cellStyle name="Komma 5" xfId="125"/>
    <cellStyle name="Neutral" xfId="34" builtinId="28" customBuiltin="1"/>
    <cellStyle name="Neutral 2" xfId="78"/>
    <cellStyle name="Neutral 3" xfId="79"/>
    <cellStyle name="Normal 2" xfId="133"/>
    <cellStyle name="Normal 3" xfId="132"/>
    <cellStyle name="Normal_C 1999 - B 2000 (NOUVEAU)" xfId="35"/>
    <cellStyle name="Notiz" xfId="36" builtinId="10" customBuiltin="1"/>
    <cellStyle name="Notiz 2" xfId="80"/>
    <cellStyle name="Notiz 3" xfId="81"/>
    <cellStyle name="Prozent 2" xfId="82"/>
    <cellStyle name="Schlecht" xfId="37" builtinId="27" customBuiltin="1"/>
    <cellStyle name="Schlecht 2" xfId="83"/>
    <cellStyle name="Schlecht 3" xfId="84"/>
    <cellStyle name="St0" xfId="38"/>
    <cellStyle name="Standard" xfId="0" builtinId="0"/>
    <cellStyle name="Standard 10" xfId="51"/>
    <cellStyle name="Standard 10 2" xfId="121"/>
    <cellStyle name="Standard 11" xfId="85"/>
    <cellStyle name="Standard 11 2" xfId="134"/>
    <cellStyle name="Standard 12" xfId="86"/>
    <cellStyle name="Standard 12 2" xfId="135"/>
    <cellStyle name="Standard 13" xfId="87"/>
    <cellStyle name="Standard 13 2" xfId="136"/>
    <cellStyle name="Standard 14" xfId="88"/>
    <cellStyle name="Standard 14 2" xfId="137"/>
    <cellStyle name="Standard 15" xfId="89"/>
    <cellStyle name="Standard 15 2" xfId="138"/>
    <cellStyle name="Standard 16" xfId="90"/>
    <cellStyle name="Standard 16 2" xfId="139"/>
    <cellStyle name="Standard 17" xfId="91"/>
    <cellStyle name="Standard 17 2" xfId="140"/>
    <cellStyle name="Standard 18" xfId="92"/>
    <cellStyle name="Standard 18 2" xfId="141"/>
    <cellStyle name="Standard 19" xfId="93"/>
    <cellStyle name="Standard 19 2" xfId="142"/>
    <cellStyle name="Standard 2" xfId="50"/>
    <cellStyle name="Standard 2 2" xfId="94"/>
    <cellStyle name="Standard 20" xfId="95"/>
    <cellStyle name="Standard 20 2" xfId="143"/>
    <cellStyle name="Standard 21" xfId="52"/>
    <cellStyle name="Standard 21 2" xfId="123"/>
    <cellStyle name="Standard 22" xfId="122"/>
    <cellStyle name="Standard 23" xfId="131"/>
    <cellStyle name="Standard 25" xfId="148"/>
    <cellStyle name="Standard 3" xfId="96"/>
    <cellStyle name="Standard 3 2" xfId="97"/>
    <cellStyle name="Standard 4" xfId="98"/>
    <cellStyle name="Standard 5" xfId="99"/>
    <cellStyle name="Standard 6" xfId="100"/>
    <cellStyle name="Standard 6 2" xfId="128"/>
    <cellStyle name="Standard 6 2 2" xfId="144"/>
    <cellStyle name="Standard 7" xfId="101"/>
    <cellStyle name="Standard 7 2" xfId="129"/>
    <cellStyle name="Standard 7 2 2" xfId="145"/>
    <cellStyle name="Standard 8" xfId="102"/>
    <cellStyle name="Standard 8 2" xfId="146"/>
    <cellStyle name="Standard 9" xfId="103"/>
    <cellStyle name="Standard 9 2" xfId="147"/>
    <cellStyle name="Standard_Bilan" xfId="39"/>
    <cellStyle name="Standard_Bilanz" xfId="40"/>
    <cellStyle name="Standard_zh-bil" xfId="41"/>
    <cellStyle name="Titel3" xfId="104"/>
    <cellStyle name="Überschrift" xfId="42" builtinId="15" customBuiltin="1"/>
    <cellStyle name="Überschrift 1" xfId="43" builtinId="16" customBuiltin="1"/>
    <cellStyle name="Überschrift 1 2" xfId="105"/>
    <cellStyle name="Überschrift 1 3" xfId="106"/>
    <cellStyle name="Überschrift 2" xfId="44" builtinId="17" customBuiltin="1"/>
    <cellStyle name="Überschrift 2 2" xfId="107"/>
    <cellStyle name="Überschrift 2 3" xfId="108"/>
    <cellStyle name="Überschrift 3" xfId="45" builtinId="18" customBuiltin="1"/>
    <cellStyle name="Überschrift 3 2" xfId="109"/>
    <cellStyle name="Überschrift 3 3" xfId="110"/>
    <cellStyle name="Überschrift 4" xfId="46" builtinId="19" customBuiltin="1"/>
    <cellStyle name="Überschrift 4 2" xfId="111"/>
    <cellStyle name="Überschrift 4 3" xfId="112"/>
    <cellStyle name="Überschrift 5" xfId="113"/>
    <cellStyle name="Überschrift 6" xfId="114"/>
    <cellStyle name="Verknüpfte Zelle" xfId="47" builtinId="24" customBuiltin="1"/>
    <cellStyle name="Verknüpfte Zelle 2" xfId="115"/>
    <cellStyle name="Verknüpfte Zelle 3" xfId="116"/>
    <cellStyle name="Warnender Text" xfId="48" builtinId="11" customBuiltin="1"/>
    <cellStyle name="Warnender Text 2" xfId="117"/>
    <cellStyle name="Warnender Text 3" xfId="118"/>
    <cellStyle name="Zelle überprüfen" xfId="49" builtinId="23" customBuiltin="1"/>
    <cellStyle name="Zelle überprüfen 2" xfId="119"/>
    <cellStyle name="Zelle überprüfen 3" xfId="120"/>
  </cellStyles>
  <dxfs count="0"/>
  <tableStyles count="0" defaultTableStyle="TableStyleMedium2" defaultPivotStyle="PivotStyleLight16"/>
  <colors>
    <mruColors>
      <color rgb="FFCCECFF"/>
      <color rgb="FFFF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77"/>
  <sheetViews>
    <sheetView tabSelected="1" view="pageLayout" zoomScaleNormal="100" workbookViewId="0">
      <selection activeCell="V16" sqref="V16"/>
    </sheetView>
  </sheetViews>
  <sheetFormatPr baseColWidth="10" defaultRowHeight="12.75"/>
  <cols>
    <col min="1" max="1" width="8.42578125" customWidth="1"/>
    <col min="2" max="2" width="48.140625" customWidth="1"/>
    <col min="3" max="3" width="12" customWidth="1"/>
    <col min="4" max="8" width="11.28515625" bestFit="1" customWidth="1"/>
    <col min="9" max="9" width="12.7109375" bestFit="1" customWidth="1"/>
    <col min="10" max="10" width="11.28515625" customWidth="1"/>
    <col min="12" max="13" width="12.85546875" bestFit="1" customWidth="1"/>
    <col min="14" max="14" width="12.85546875" customWidth="1"/>
    <col min="15" max="15" width="14" customWidth="1"/>
    <col min="16" max="21" width="13.5703125" customWidth="1"/>
  </cols>
  <sheetData>
    <row r="1" spans="1:22">
      <c r="A1" s="187"/>
      <c r="B1" s="12" t="s">
        <v>98</v>
      </c>
      <c r="C1" s="1">
        <v>2000</v>
      </c>
      <c r="D1" s="1">
        <v>2001</v>
      </c>
      <c r="E1" s="1">
        <v>2002</v>
      </c>
      <c r="F1" s="1">
        <v>2003</v>
      </c>
      <c r="G1" s="1">
        <v>2004</v>
      </c>
      <c r="H1" s="1">
        <v>2005</v>
      </c>
      <c r="I1" s="1">
        <v>2006</v>
      </c>
      <c r="J1" s="1">
        <v>2007</v>
      </c>
      <c r="K1" s="1">
        <v>2008</v>
      </c>
      <c r="L1" s="1">
        <v>2009</v>
      </c>
      <c r="M1" s="1">
        <v>2010</v>
      </c>
      <c r="N1" s="1">
        <v>2011</v>
      </c>
      <c r="O1" s="1">
        <v>2012</v>
      </c>
      <c r="P1" s="1">
        <v>2013</v>
      </c>
      <c r="Q1" s="1">
        <v>2014</v>
      </c>
      <c r="R1" s="1">
        <v>2015</v>
      </c>
      <c r="S1" s="1">
        <v>2016</v>
      </c>
      <c r="T1" s="1">
        <v>2017</v>
      </c>
      <c r="U1" s="1">
        <v>2018</v>
      </c>
      <c r="V1" s="1">
        <v>2018</v>
      </c>
    </row>
    <row r="2" spans="1:22">
      <c r="A2" s="7"/>
      <c r="B2" s="395" t="str">
        <f>"Bilanz 2000 bis "&amp;V1</f>
        <v>Bilanz 2000 bis 2018</v>
      </c>
      <c r="C2" s="79"/>
      <c r="D2" s="79"/>
      <c r="E2" s="79"/>
      <c r="F2" s="79"/>
      <c r="G2" s="79"/>
      <c r="H2" s="79"/>
      <c r="I2" s="79"/>
      <c r="J2" s="79"/>
      <c r="K2" s="79"/>
      <c r="L2" s="79"/>
      <c r="M2" s="79"/>
      <c r="N2" s="79"/>
      <c r="O2" s="79"/>
      <c r="P2" s="79"/>
      <c r="Q2" s="79"/>
      <c r="R2" s="79"/>
      <c r="S2" s="79"/>
      <c r="T2" s="79"/>
      <c r="U2" s="79"/>
      <c r="V2" s="79" t="s">
        <v>88</v>
      </c>
    </row>
    <row r="3" spans="1:22">
      <c r="A3" s="186"/>
      <c r="B3" s="166"/>
      <c r="C3" s="86" t="s">
        <v>4</v>
      </c>
      <c r="D3" s="86" t="s">
        <v>4</v>
      </c>
      <c r="E3" s="86" t="s">
        <v>4</v>
      </c>
      <c r="F3" s="86" t="s">
        <v>4</v>
      </c>
      <c r="G3" s="86" t="s">
        <v>4</v>
      </c>
      <c r="H3" s="86" t="s">
        <v>4</v>
      </c>
      <c r="I3" s="9" t="s">
        <v>4</v>
      </c>
      <c r="J3" s="9" t="s">
        <v>4</v>
      </c>
      <c r="K3" s="9" t="s">
        <v>4</v>
      </c>
      <c r="L3" s="9" t="s">
        <v>4</v>
      </c>
      <c r="M3" s="9" t="s">
        <v>4</v>
      </c>
      <c r="N3" s="9" t="s">
        <v>4</v>
      </c>
      <c r="O3" s="9" t="s">
        <v>4</v>
      </c>
      <c r="P3" s="9" t="s">
        <v>4</v>
      </c>
      <c r="Q3" s="9" t="s">
        <v>4</v>
      </c>
      <c r="R3" s="9" t="s">
        <v>4</v>
      </c>
      <c r="S3" s="9" t="s">
        <v>4</v>
      </c>
      <c r="T3" s="9" t="s">
        <v>4</v>
      </c>
      <c r="U3" s="9" t="s">
        <v>4</v>
      </c>
      <c r="V3" s="9" t="s">
        <v>89</v>
      </c>
    </row>
    <row r="4" spans="1:22">
      <c r="A4" s="11">
        <v>1</v>
      </c>
      <c r="B4" s="12" t="s">
        <v>5</v>
      </c>
      <c r="C4" s="228">
        <f t="shared" ref="C4:I4" si="0">C6+C11+C16+C18</f>
        <v>79548957.332000002</v>
      </c>
      <c r="D4" s="228">
        <f t="shared" si="0"/>
        <v>83878703.031000003</v>
      </c>
      <c r="E4" s="228">
        <f t="shared" si="0"/>
        <v>87182070.502999991</v>
      </c>
      <c r="F4" s="228">
        <f t="shared" si="0"/>
        <v>89455276.277129993</v>
      </c>
      <c r="G4" s="228">
        <f t="shared" si="0"/>
        <v>92574021.073190004</v>
      </c>
      <c r="H4" s="228">
        <f t="shared" si="0"/>
        <v>91897571.529000014</v>
      </c>
      <c r="I4" s="198">
        <f t="shared" si="0"/>
        <v>89439753.623630002</v>
      </c>
      <c r="J4" s="198">
        <f t="shared" ref="J4:O4" si="1">J6+J11+J16+J18</f>
        <v>92881670.31874001</v>
      </c>
      <c r="K4" s="198">
        <f t="shared" si="1"/>
        <v>83781203.599000007</v>
      </c>
      <c r="L4" s="198">
        <f t="shared" si="1"/>
        <v>91310045.940449983</v>
      </c>
      <c r="M4" s="198">
        <f t="shared" si="1"/>
        <v>92188368.085912004</v>
      </c>
      <c r="N4" s="198">
        <f t="shared" si="1"/>
        <v>98940971.807300001</v>
      </c>
      <c r="O4" s="198">
        <f t="shared" si="1"/>
        <v>101620892.97227</v>
      </c>
      <c r="P4" s="198">
        <f t="shared" ref="P4:Q4" si="2">P6+P11+P16+P18</f>
        <v>111262413.42570001</v>
      </c>
      <c r="Q4" s="198">
        <f t="shared" si="2"/>
        <v>112771800.30999999</v>
      </c>
      <c r="R4" s="198">
        <f t="shared" ref="R4:S4" si="3">R6+R11+R16+R18</f>
        <v>114970819.48957899</v>
      </c>
      <c r="S4" s="198">
        <f t="shared" si="3"/>
        <v>113237187.47046399</v>
      </c>
      <c r="T4" s="198">
        <f t="shared" ref="T4:U4" si="4">T6+T11+T16+T18</f>
        <v>120747154.98996001</v>
      </c>
      <c r="U4" s="198">
        <f t="shared" si="4"/>
        <v>126407878.10433</v>
      </c>
      <c r="V4" s="198">
        <f>100*U4/$C4</f>
        <v>158.90576362523882</v>
      </c>
    </row>
    <row r="5" spans="1:22">
      <c r="A5" s="14"/>
      <c r="B5" s="15"/>
      <c r="C5" s="229"/>
      <c r="D5" s="230"/>
      <c r="E5" s="229"/>
      <c r="F5" s="229"/>
      <c r="G5" s="27"/>
      <c r="H5" s="196"/>
      <c r="I5" s="196"/>
      <c r="J5" s="196"/>
      <c r="K5" s="196"/>
      <c r="L5" s="196"/>
      <c r="M5" s="231"/>
      <c r="N5" s="231"/>
      <c r="O5" s="196"/>
      <c r="P5" s="196"/>
      <c r="Q5" s="196"/>
      <c r="R5" s="196"/>
      <c r="S5" s="196"/>
      <c r="T5" s="196"/>
      <c r="U5" s="196"/>
      <c r="V5" s="196"/>
    </row>
    <row r="6" spans="1:22">
      <c r="A6" s="19">
        <v>10</v>
      </c>
      <c r="B6" s="12" t="s">
        <v>6</v>
      </c>
      <c r="C6" s="198">
        <f t="shared" ref="C6:I6" si="5">SUM(C7:C9)</f>
        <v>26261258.332000002</v>
      </c>
      <c r="D6" s="198">
        <f t="shared" si="5"/>
        <v>31421578.030999999</v>
      </c>
      <c r="E6" s="198">
        <f t="shared" si="5"/>
        <v>34642363.502999999</v>
      </c>
      <c r="F6" s="198">
        <f t="shared" si="5"/>
        <v>36417233.295639999</v>
      </c>
      <c r="G6" s="198">
        <f t="shared" si="5"/>
        <v>38107577.569839999</v>
      </c>
      <c r="H6" s="198">
        <f t="shared" si="5"/>
        <v>44767581.680000007</v>
      </c>
      <c r="I6" s="198">
        <f t="shared" si="5"/>
        <v>43693971.219269998</v>
      </c>
      <c r="J6" s="198">
        <f t="shared" ref="J6:O6" si="6">SUM(J7:J9)</f>
        <v>46930609.322039999</v>
      </c>
      <c r="K6" s="198">
        <f t="shared" si="6"/>
        <v>36317822.598999999</v>
      </c>
      <c r="L6" s="198">
        <f t="shared" si="6"/>
        <v>38642678.164069995</v>
      </c>
      <c r="M6" s="198">
        <f t="shared" si="6"/>
        <v>39589017.185940005</v>
      </c>
      <c r="N6" s="198">
        <f t="shared" si="6"/>
        <v>45019219.984459981</v>
      </c>
      <c r="O6" s="198">
        <f t="shared" si="6"/>
        <v>42872054.408089995</v>
      </c>
      <c r="P6" s="198">
        <f t="shared" ref="P6:Q6" si="7">SUM(P7:P9)</f>
        <v>47255877.709180005</v>
      </c>
      <c r="Q6" s="198">
        <f t="shared" si="7"/>
        <v>49225579.961189993</v>
      </c>
      <c r="R6" s="198">
        <f t="shared" ref="R6:S6" si="8">SUM(R7:R9)</f>
        <v>48559597.84507899</v>
      </c>
      <c r="S6" s="198">
        <f t="shared" si="8"/>
        <v>51121923.465623997</v>
      </c>
      <c r="T6" s="198">
        <f t="shared" ref="T6:U6" si="9">SUM(T7:T9)</f>
        <v>53131622.91054</v>
      </c>
      <c r="U6" s="198">
        <f t="shared" si="9"/>
        <v>57136457.254760005</v>
      </c>
      <c r="V6" s="198">
        <f>100*U6/$C6</f>
        <v>217.56938122472906</v>
      </c>
    </row>
    <row r="7" spans="1:22">
      <c r="A7" s="20" t="s">
        <v>7</v>
      </c>
      <c r="B7" s="21" t="s">
        <v>8</v>
      </c>
      <c r="C7" s="231">
        <f>SUM(AG:ZH!C7)</f>
        <v>17137070.332000002</v>
      </c>
      <c r="D7" s="231">
        <f>SUM(AG:ZH!D7)</f>
        <v>19798071.030999999</v>
      </c>
      <c r="E7" s="231">
        <f>SUM(AG:ZH!E7)</f>
        <v>20436049.502999999</v>
      </c>
      <c r="F7" s="231">
        <f>SUM(AG:ZH!F7)</f>
        <v>21921532.211660001</v>
      </c>
      <c r="G7" s="231">
        <f>SUM(AG:ZH!G7)</f>
        <v>20725870.910629999</v>
      </c>
      <c r="H7" s="231">
        <f>SUM(AG:ZH!H7)</f>
        <v>26389521.159000002</v>
      </c>
      <c r="I7" s="231">
        <f>SUM(AG:ZH!I7)</f>
        <v>23643361.604729999</v>
      </c>
      <c r="J7" s="231">
        <f>SUM(AG:ZH!J7)</f>
        <v>26047457.810289998</v>
      </c>
      <c r="K7" s="231">
        <f>SUM(AG:ZH!K7)</f>
        <v>26351473.598999999</v>
      </c>
      <c r="L7" s="231">
        <f>SUM(AG:ZH!L7)</f>
        <v>27353674.054719999</v>
      </c>
      <c r="M7" s="231">
        <f>SUM(AG:ZH!M7)</f>
        <v>27216297.27922</v>
      </c>
      <c r="N7" s="231">
        <f>SUM(AG:ZH!N7)</f>
        <v>32554981.235139981</v>
      </c>
      <c r="O7" s="231">
        <f>SUM(AG:ZH!O7)</f>
        <v>29060314.651809998</v>
      </c>
      <c r="P7" s="231">
        <f>SUM(AG:ZH!P7)</f>
        <v>28575733.201600004</v>
      </c>
      <c r="Q7" s="231">
        <f>SUM(AG:ZH!Q7)</f>
        <v>25468512.362580001</v>
      </c>
      <c r="R7" s="231">
        <f>SUM(AG:ZH!R7)</f>
        <v>24277123.128959998</v>
      </c>
      <c r="S7" s="231">
        <f>SUM(AG:ZH!S7)</f>
        <v>25993281.269774001</v>
      </c>
      <c r="T7" s="231">
        <f>SUM(AG:ZH!T7)</f>
        <v>27125806.516109999</v>
      </c>
      <c r="U7" s="231">
        <f>SUM(AG:ZH!U7)</f>
        <v>29664997.762739997</v>
      </c>
      <c r="V7" s="231">
        <f>100*U7/$C7</f>
        <v>173.104254041291</v>
      </c>
    </row>
    <row r="8" spans="1:22">
      <c r="A8" s="25">
        <v>102</v>
      </c>
      <c r="B8" s="26" t="s">
        <v>9</v>
      </c>
      <c r="C8" s="231">
        <f>SUM(AG:ZH!C8)</f>
        <v>5659376</v>
      </c>
      <c r="D8" s="231">
        <f>SUM(AG:ZH!D8)</f>
        <v>5654453</v>
      </c>
      <c r="E8" s="231">
        <f>SUM(AG:ZH!E8)</f>
        <v>5847689</v>
      </c>
      <c r="F8" s="231">
        <f>SUM(AG:ZH!F8)</f>
        <v>6527951.7146500004</v>
      </c>
      <c r="G8" s="231">
        <f>SUM(AG:ZH!G8)</f>
        <v>6616392.85188</v>
      </c>
      <c r="H8" s="231">
        <f>SUM(AG:ZH!H8)</f>
        <v>8450705.3729999997</v>
      </c>
      <c r="I8" s="231">
        <f>SUM(AG:ZH!I8)</f>
        <v>8800350.9404699989</v>
      </c>
      <c r="J8" s="231">
        <f>SUM(AG:ZH!J8)</f>
        <v>7699313.3473399989</v>
      </c>
      <c r="K8" s="231">
        <f>SUM(AG:ZH!K8)</f>
        <v>6649856</v>
      </c>
      <c r="L8" s="231">
        <f>SUM(AG:ZH!L8)</f>
        <v>7903194.2350200005</v>
      </c>
      <c r="M8" s="231">
        <f>SUM(AG:ZH!M8)</f>
        <v>8571286.0158799998</v>
      </c>
      <c r="N8" s="231">
        <f>SUM(AG:ZH!N8)</f>
        <v>8301897.0345100015</v>
      </c>
      <c r="O8" s="231">
        <f>SUM(AG:ZH!O8)</f>
        <v>9550694.0233100001</v>
      </c>
      <c r="P8" s="231">
        <f>SUM(AG:ZH!P8)</f>
        <v>11473136.02059</v>
      </c>
      <c r="Q8" s="231">
        <f>SUM(AG:ZH!Q8)</f>
        <v>11673512.5057</v>
      </c>
      <c r="R8" s="231">
        <f>SUM(AG:ZH!R8)</f>
        <v>12444946.108828995</v>
      </c>
      <c r="S8" s="231">
        <f>SUM(AG:ZH!S8)</f>
        <v>13761992.852559997</v>
      </c>
      <c r="T8" s="231">
        <f>SUM(AG:ZH!T8)</f>
        <v>13534591.101689998</v>
      </c>
      <c r="U8" s="231">
        <f>SUM(AG:ZH!U8)</f>
        <v>13912193.874650002</v>
      </c>
      <c r="V8" s="231">
        <f>100*U8/$C8</f>
        <v>245.82557996941716</v>
      </c>
    </row>
    <row r="9" spans="1:22">
      <c r="A9" s="25">
        <v>103</v>
      </c>
      <c r="B9" s="26" t="s">
        <v>10</v>
      </c>
      <c r="C9" s="231">
        <f>SUM(AG:ZH!C9)</f>
        <v>3464812</v>
      </c>
      <c r="D9" s="231">
        <f>SUM(AG:ZH!D9)</f>
        <v>5969054</v>
      </c>
      <c r="E9" s="231">
        <f>SUM(AG:ZH!E9)</f>
        <v>8358625</v>
      </c>
      <c r="F9" s="231">
        <f>SUM(AG:ZH!F9)</f>
        <v>7967749.3693299992</v>
      </c>
      <c r="G9" s="231">
        <f>SUM(AG:ZH!G9)</f>
        <v>10765313.807329999</v>
      </c>
      <c r="H9" s="231">
        <f>SUM(AG:ZH!H9)</f>
        <v>9927355.148</v>
      </c>
      <c r="I9" s="231">
        <f>SUM(AG:ZH!I9)</f>
        <v>11250258.674070001</v>
      </c>
      <c r="J9" s="231">
        <f>SUM(AG:ZH!J9)</f>
        <v>13183838.164410001</v>
      </c>
      <c r="K9" s="231">
        <f>SUM(AG:ZH!K9)</f>
        <v>3316493</v>
      </c>
      <c r="L9" s="231">
        <f>SUM(AG:ZH!L9)</f>
        <v>3385809.87433</v>
      </c>
      <c r="M9" s="231">
        <f>SUM(AG:ZH!M9)</f>
        <v>3801433.89084</v>
      </c>
      <c r="N9" s="231">
        <f>SUM(AG:ZH!N9)</f>
        <v>4162341.7148099993</v>
      </c>
      <c r="O9" s="231">
        <f>SUM(AG:ZH!O9)</f>
        <v>4261045.7329700002</v>
      </c>
      <c r="P9" s="231">
        <f>SUM(AG:ZH!P9)</f>
        <v>7207008.4869900001</v>
      </c>
      <c r="Q9" s="231">
        <f>SUM(AG:ZH!Q9)</f>
        <v>12083555.092909992</v>
      </c>
      <c r="R9" s="231">
        <f>SUM(AG:ZH!R9)</f>
        <v>11837528.607289998</v>
      </c>
      <c r="S9" s="231">
        <f>SUM(AG:ZH!S9)</f>
        <v>11366649.343290001</v>
      </c>
      <c r="T9" s="231">
        <f>SUM(AG:ZH!T9)</f>
        <v>12471225.292739999</v>
      </c>
      <c r="U9" s="231">
        <f>SUM(AG:ZH!U9)</f>
        <v>13559265.61737</v>
      </c>
      <c r="V9" s="231">
        <f>100*U9/$C9</f>
        <v>391.34203002558291</v>
      </c>
    </row>
    <row r="10" spans="1:22">
      <c r="A10" s="28"/>
      <c r="B10" s="29"/>
      <c r="C10" s="232"/>
      <c r="D10" s="233"/>
      <c r="E10" s="232"/>
      <c r="F10" s="232"/>
      <c r="G10" s="27"/>
      <c r="H10" s="196"/>
      <c r="I10" s="196"/>
      <c r="J10" s="196"/>
      <c r="K10" s="196"/>
      <c r="L10" s="196"/>
      <c r="M10" s="231"/>
      <c r="N10" s="231"/>
      <c r="O10" s="196"/>
      <c r="P10" s="196"/>
      <c r="Q10" s="196"/>
      <c r="R10" s="196"/>
      <c r="S10" s="196"/>
      <c r="T10" s="196"/>
      <c r="U10" s="196"/>
      <c r="V10" s="196"/>
    </row>
    <row r="11" spans="1:22">
      <c r="A11" s="19">
        <v>11</v>
      </c>
      <c r="B11" s="12" t="s">
        <v>11</v>
      </c>
      <c r="C11" s="198">
        <f t="shared" ref="C11:I11" si="10">SUM(C12:C14)</f>
        <v>35723786</v>
      </c>
      <c r="D11" s="198">
        <f t="shared" si="10"/>
        <v>34793048</v>
      </c>
      <c r="E11" s="198">
        <f t="shared" si="10"/>
        <v>34099369</v>
      </c>
      <c r="F11" s="198">
        <f t="shared" si="10"/>
        <v>34936163.622519992</v>
      </c>
      <c r="G11" s="198">
        <f t="shared" si="10"/>
        <v>34651238.376790002</v>
      </c>
      <c r="H11" s="198">
        <f t="shared" si="10"/>
        <v>33101289.636</v>
      </c>
      <c r="I11" s="198">
        <f t="shared" si="10"/>
        <v>32865486.728459999</v>
      </c>
      <c r="J11" s="198">
        <f t="shared" ref="J11:O11" si="11">SUM(J12:J14)</f>
        <v>33782825.067769997</v>
      </c>
      <c r="K11" s="198">
        <f t="shared" si="11"/>
        <v>41666942</v>
      </c>
      <c r="L11" s="198">
        <f t="shared" si="11"/>
        <v>47909734.704459995</v>
      </c>
      <c r="M11" s="198">
        <f t="shared" si="11"/>
        <v>47905021.516401999</v>
      </c>
      <c r="N11" s="198">
        <f t="shared" si="11"/>
        <v>49547949.893280007</v>
      </c>
      <c r="O11" s="198">
        <f t="shared" si="11"/>
        <v>54627938.733060002</v>
      </c>
      <c r="P11" s="198">
        <f t="shared" ref="P11:Q11" si="12">SUM(P12:P14)</f>
        <v>59453884.103920005</v>
      </c>
      <c r="Q11" s="198">
        <f t="shared" si="12"/>
        <v>60816270.884809993</v>
      </c>
      <c r="R11" s="198">
        <f t="shared" ref="R11:S11" si="13">SUM(R12:R14)</f>
        <v>61810970.858429998</v>
      </c>
      <c r="S11" s="198">
        <f t="shared" si="13"/>
        <v>60988069.472349994</v>
      </c>
      <c r="T11" s="198">
        <f t="shared" ref="T11:U11" si="14">SUM(T12:T14)</f>
        <v>66411616.409080014</v>
      </c>
      <c r="U11" s="198">
        <f t="shared" si="14"/>
        <v>68833356.876589999</v>
      </c>
      <c r="V11" s="198">
        <f>100*U11/$C11</f>
        <v>192.68214426262097</v>
      </c>
    </row>
    <row r="12" spans="1:22">
      <c r="A12" s="32">
        <v>114</v>
      </c>
      <c r="B12" s="21" t="s">
        <v>12</v>
      </c>
      <c r="C12" s="231">
        <f>SUM(AG:ZH!C12)</f>
        <v>17281639</v>
      </c>
      <c r="D12" s="231">
        <f>SUM(AG:ZH!D12)</f>
        <v>17744632</v>
      </c>
      <c r="E12" s="231">
        <f>SUM(AG:ZH!E12)</f>
        <v>18126885</v>
      </c>
      <c r="F12" s="231">
        <f>SUM(AG:ZH!F12)</f>
        <v>18356989.025799997</v>
      </c>
      <c r="G12" s="231">
        <f>SUM(AG:ZH!G12)</f>
        <v>17974529.111730002</v>
      </c>
      <c r="H12" s="231">
        <f>SUM(AG:ZH!H12)</f>
        <v>17139649.02</v>
      </c>
      <c r="I12" s="231">
        <f>SUM(AG:ZH!I12)</f>
        <v>16840922.960919999</v>
      </c>
      <c r="J12" s="231">
        <f>SUM(AG:ZH!J12)</f>
        <v>16860409.383079998</v>
      </c>
      <c r="K12" s="231">
        <f>SUM(AG:ZH!K12)</f>
        <v>23572034</v>
      </c>
      <c r="L12" s="231">
        <f>SUM(AG:ZH!L12)</f>
        <v>27578271.299399998</v>
      </c>
      <c r="M12" s="231">
        <f>SUM(AG:ZH!M12)</f>
        <v>28283539.777559999</v>
      </c>
      <c r="N12" s="231">
        <f>SUM(AG:ZH!N12)</f>
        <v>29230896.362180002</v>
      </c>
      <c r="O12" s="231">
        <f>SUM(AG:ZH!O12)</f>
        <v>31902973.934710003</v>
      </c>
      <c r="P12" s="231">
        <f>SUM(AG:ZH!P12)</f>
        <v>35314288.294740006</v>
      </c>
      <c r="Q12" s="231">
        <f>SUM(AG:ZH!Q12)</f>
        <v>38833642.707269996</v>
      </c>
      <c r="R12" s="231">
        <f>SUM(AG:ZH!R12)</f>
        <v>39172783.706799999</v>
      </c>
      <c r="S12" s="231">
        <f>SUM(AG:ZH!S12)</f>
        <v>39252768.796279997</v>
      </c>
      <c r="T12" s="231">
        <f>SUM(AG:ZH!T12)</f>
        <v>42329556.58363001</v>
      </c>
      <c r="U12" s="231">
        <f>SUM(AG:ZH!U12)</f>
        <v>43357932.495049998</v>
      </c>
      <c r="V12" s="231">
        <f>100*U12/$C12</f>
        <v>250.89016438226722</v>
      </c>
    </row>
    <row r="13" spans="1:22">
      <c r="A13" s="25">
        <v>115</v>
      </c>
      <c r="B13" s="26" t="s">
        <v>13</v>
      </c>
      <c r="C13" s="231">
        <f>SUM(AG:ZH!C13)</f>
        <v>12969907</v>
      </c>
      <c r="D13" s="231">
        <f>SUM(AG:ZH!D13)</f>
        <v>11411715</v>
      </c>
      <c r="E13" s="231">
        <f>SUM(AG:ZH!E13)</f>
        <v>10336964</v>
      </c>
      <c r="F13" s="231">
        <f>SUM(AG:ZH!F13)</f>
        <v>11008636.34292</v>
      </c>
      <c r="G13" s="231">
        <f>SUM(AG:ZH!G13)</f>
        <v>11677143.301070001</v>
      </c>
      <c r="H13" s="231">
        <f>SUM(AG:ZH!H13)</f>
        <v>11506506.409</v>
      </c>
      <c r="I13" s="231">
        <f>SUM(AG:ZH!I13)</f>
        <v>11935190.4671</v>
      </c>
      <c r="J13" s="231">
        <f>SUM(AG:ZH!J13)</f>
        <v>12833715.525479998</v>
      </c>
      <c r="K13" s="231">
        <f>SUM(AG:ZH!K13)</f>
        <v>13307800</v>
      </c>
      <c r="L13" s="231">
        <f>SUM(AG:ZH!L13)</f>
        <v>14510888.42811</v>
      </c>
      <c r="M13" s="231">
        <f>SUM(AG:ZH!M13)</f>
        <v>13806872.65862</v>
      </c>
      <c r="N13" s="231">
        <f>SUM(AG:ZH!N13)</f>
        <v>14410754.873400001</v>
      </c>
      <c r="O13" s="231">
        <f>SUM(AG:ZH!O13)</f>
        <v>16974922.921499997</v>
      </c>
      <c r="P13" s="231">
        <f>SUM(AG:ZH!P13)</f>
        <v>18264705.019239999</v>
      </c>
      <c r="Q13" s="231">
        <f>SUM(AG:ZH!Q13)</f>
        <v>15793357.132109998</v>
      </c>
      <c r="R13" s="231">
        <f>SUM(AG:ZH!R13)</f>
        <v>16536472.77691</v>
      </c>
      <c r="S13" s="231">
        <f>SUM(AG:ZH!S13)</f>
        <v>15445205.86411</v>
      </c>
      <c r="T13" s="231">
        <f>SUM(AG:ZH!T13)</f>
        <v>16592498.74045</v>
      </c>
      <c r="U13" s="231">
        <f>SUM(AG:ZH!U13)</f>
        <v>17880846.47002</v>
      </c>
      <c r="V13" s="231">
        <f>100*U13/$C13</f>
        <v>137.86410704425253</v>
      </c>
    </row>
    <row r="14" spans="1:22">
      <c r="A14" s="33" t="s">
        <v>14</v>
      </c>
      <c r="B14" s="34" t="s">
        <v>15</v>
      </c>
      <c r="C14" s="231">
        <f>SUM(AG:ZH!C14)</f>
        <v>5472240</v>
      </c>
      <c r="D14" s="231">
        <f>SUM(AG:ZH!D14)</f>
        <v>5636701</v>
      </c>
      <c r="E14" s="231">
        <f>SUM(AG:ZH!E14)</f>
        <v>5635520</v>
      </c>
      <c r="F14" s="231">
        <f>SUM(AG:ZH!F14)</f>
        <v>5570538.2538000001</v>
      </c>
      <c r="G14" s="231">
        <f>SUM(AG:ZH!G14)</f>
        <v>4999565.9639900001</v>
      </c>
      <c r="H14" s="231">
        <f>SUM(AG:ZH!H14)</f>
        <v>4455134.2070000004</v>
      </c>
      <c r="I14" s="231">
        <f>SUM(AG:ZH!I14)</f>
        <v>4089373.3004399999</v>
      </c>
      <c r="J14" s="231">
        <f>SUM(AG:ZH!J14)</f>
        <v>4088700.1592100002</v>
      </c>
      <c r="K14" s="231">
        <f>SUM(AG:ZH!K14)</f>
        <v>4787108</v>
      </c>
      <c r="L14" s="231">
        <f>SUM(AG:ZH!L14)</f>
        <v>5820574.97695</v>
      </c>
      <c r="M14" s="231">
        <f>SUM(AG:ZH!M14)</f>
        <v>5814609.0802220004</v>
      </c>
      <c r="N14" s="231">
        <f>SUM(AG:ZH!N14)</f>
        <v>5906298.6577000003</v>
      </c>
      <c r="O14" s="231">
        <f>SUM(AG:ZH!O14)</f>
        <v>5750041.8768500006</v>
      </c>
      <c r="P14" s="231">
        <f>SUM(AG:ZH!P14)</f>
        <v>5874890.7899399996</v>
      </c>
      <c r="Q14" s="231">
        <f>SUM(AG:ZH!Q14)</f>
        <v>6189271.0454299999</v>
      </c>
      <c r="R14" s="231">
        <f>SUM(AG:ZH!R14)</f>
        <v>6101714.3747199997</v>
      </c>
      <c r="S14" s="231">
        <f>SUM(AG:ZH!S14)</f>
        <v>6290094.8119599996</v>
      </c>
      <c r="T14" s="231">
        <f>SUM(AG:ZH!T14)</f>
        <v>7489561.0850000009</v>
      </c>
      <c r="U14" s="231">
        <f>SUM(AG:ZH!U14)</f>
        <v>7594577.9115200005</v>
      </c>
      <c r="V14" s="231">
        <f>100*U14/$C14</f>
        <v>138.78371400961947</v>
      </c>
    </row>
    <row r="15" spans="1:22">
      <c r="A15" s="35"/>
      <c r="B15" s="36"/>
      <c r="C15" s="232"/>
      <c r="D15" s="233"/>
      <c r="E15" s="232"/>
      <c r="F15" s="232"/>
      <c r="G15" s="27"/>
      <c r="H15" s="200"/>
      <c r="I15" s="234"/>
      <c r="J15" s="234"/>
      <c r="K15" s="234"/>
      <c r="L15" s="234"/>
      <c r="M15" s="231"/>
      <c r="N15" s="231"/>
      <c r="O15" s="234"/>
      <c r="P15" s="234"/>
      <c r="Q15" s="234"/>
      <c r="R15" s="234"/>
      <c r="S15" s="234"/>
      <c r="T15" s="234"/>
      <c r="U15" s="234"/>
      <c r="V15" s="234"/>
    </row>
    <row r="16" spans="1:22">
      <c r="A16" s="11">
        <v>12</v>
      </c>
      <c r="B16" s="38" t="s">
        <v>16</v>
      </c>
      <c r="C16" s="198">
        <f>SUM(AG:ZH!C16)</f>
        <v>301800</v>
      </c>
      <c r="D16" s="198">
        <f>SUM(AG:ZH!D16)</f>
        <v>328793</v>
      </c>
      <c r="E16" s="198">
        <f>SUM(AG:ZH!E16)</f>
        <v>334489</v>
      </c>
      <c r="F16" s="198">
        <f>SUM(AG:ZH!F16)</f>
        <v>350285.95199999999</v>
      </c>
      <c r="G16" s="198">
        <f>SUM(AG:ZH!G16)</f>
        <v>1290226.855</v>
      </c>
      <c r="H16" s="198">
        <f>SUM(AG:ZH!H16)</f>
        <v>292016.06900000002</v>
      </c>
      <c r="I16" s="198">
        <f>SUM(AG:ZH!I16)</f>
        <v>236781.86170000001</v>
      </c>
      <c r="J16" s="198">
        <f>SUM(AG:ZH!J16)</f>
        <v>819886.47873999993</v>
      </c>
      <c r="K16" s="198">
        <f>SUM(AG:ZH!K16)</f>
        <v>2126484</v>
      </c>
      <c r="L16" s="198">
        <f>SUM(AG:ZH!L16)</f>
        <v>1907990</v>
      </c>
      <c r="M16" s="198">
        <f>SUM(AG:ZH!M16)</f>
        <v>2088541.7170099998</v>
      </c>
      <c r="N16" s="198">
        <f>SUM(AG:ZH!N16)</f>
        <v>1857513.8267900003</v>
      </c>
      <c r="O16" s="198">
        <f>SUM(AG:ZH!O16)</f>
        <v>1305684.5057699999</v>
      </c>
      <c r="P16" s="198">
        <f>SUM(AG:ZH!P16)</f>
        <v>1456540.3416200001</v>
      </c>
      <c r="Q16" s="198">
        <f>SUM(AG:ZH!Q16)</f>
        <v>460767.87700000004</v>
      </c>
      <c r="R16" s="198">
        <f>SUM(AG:ZH!R16)</f>
        <v>444507.23100000003</v>
      </c>
      <c r="S16" s="198">
        <f>SUM(AG:ZH!S16)</f>
        <v>438187.49099999998</v>
      </c>
      <c r="T16" s="198">
        <f>SUM(AG:ZH!T16)</f>
        <v>462635.33734000003</v>
      </c>
      <c r="U16" s="198">
        <f>SUM(AG:ZH!U16)</f>
        <v>438063.97297999996</v>
      </c>
      <c r="V16" s="198">
        <f>100*U16/$C16</f>
        <v>145.1504217958913</v>
      </c>
    </row>
    <row r="17" spans="1:22">
      <c r="A17" s="39"/>
      <c r="B17" s="40"/>
      <c r="C17" s="229"/>
      <c r="D17" s="230"/>
      <c r="E17" s="229"/>
      <c r="F17" s="229"/>
      <c r="G17" s="235"/>
      <c r="H17" s="196"/>
      <c r="I17" s="196"/>
      <c r="J17" s="196"/>
      <c r="K17" s="196"/>
      <c r="L17" s="196"/>
      <c r="M17" s="231"/>
      <c r="N17" s="231"/>
      <c r="O17" s="196"/>
      <c r="P17" s="196"/>
      <c r="Q17" s="196"/>
      <c r="R17" s="196"/>
      <c r="S17" s="196"/>
      <c r="T17" s="196"/>
      <c r="U17" s="196"/>
      <c r="V17" s="196"/>
    </row>
    <row r="18" spans="1:22">
      <c r="A18" s="11">
        <v>13</v>
      </c>
      <c r="B18" s="38" t="s">
        <v>17</v>
      </c>
      <c r="C18" s="198">
        <f>SUM(AG:ZH!C18)</f>
        <v>17262113</v>
      </c>
      <c r="D18" s="198">
        <f>SUM(AG:ZH!D18)</f>
        <v>17335284</v>
      </c>
      <c r="E18" s="198">
        <f>SUM(AG:ZH!E18)</f>
        <v>18105849</v>
      </c>
      <c r="F18" s="198">
        <f>SUM(AG:ZH!F18)</f>
        <v>17751593.406969998</v>
      </c>
      <c r="G18" s="198">
        <f>SUM(AG:ZH!G18)</f>
        <v>18524978.271559998</v>
      </c>
      <c r="H18" s="198">
        <f>SUM(AG:ZH!H18)</f>
        <v>13736684.143999999</v>
      </c>
      <c r="I18" s="198">
        <f>SUM(AG:ZH!I18)</f>
        <v>12643513.814199999</v>
      </c>
      <c r="J18" s="198">
        <f>SUM(AG:ZH!J18)</f>
        <v>11348349.45019</v>
      </c>
      <c r="K18" s="198">
        <f>SUM(AG:ZH!K18)</f>
        <v>3669955</v>
      </c>
      <c r="L18" s="198">
        <f>SUM(AG:ZH!L18)</f>
        <v>2849643.07192</v>
      </c>
      <c r="M18" s="198">
        <f>SUM(AG:ZH!M18)</f>
        <v>2605787.6665599998</v>
      </c>
      <c r="N18" s="198">
        <f>SUM(AG:ZH!N18)</f>
        <v>2516288.1027699998</v>
      </c>
      <c r="O18" s="198">
        <f>SUM(AG:ZH!O18)</f>
        <v>2815215.3253499996</v>
      </c>
      <c r="P18" s="198">
        <f>SUM(AG:ZH!P18)</f>
        <v>3096111.27098</v>
      </c>
      <c r="Q18" s="198">
        <f>SUM(AG:ZH!Q18)</f>
        <v>2269181.5870000003</v>
      </c>
      <c r="R18" s="198">
        <f>SUM(AG:ZH!R18)</f>
        <v>4155743.5550700002</v>
      </c>
      <c r="S18" s="198">
        <f>SUM(AG:ZH!S18)</f>
        <v>689007.04148999997</v>
      </c>
      <c r="T18" s="198">
        <f>SUM(AG:ZH!T18)</f>
        <v>741280.33299999998</v>
      </c>
      <c r="U18" s="198">
        <f>SUM(AG:ZH!U18)</f>
        <v>0</v>
      </c>
      <c r="V18" s="198">
        <f>100*U18/$C18</f>
        <v>0</v>
      </c>
    </row>
    <row r="19" spans="1:22">
      <c r="A19" s="41"/>
      <c r="B19" s="42"/>
      <c r="C19" s="236"/>
      <c r="D19" s="237"/>
      <c r="E19" s="236"/>
      <c r="F19" s="236"/>
      <c r="G19" s="24"/>
      <c r="H19" s="196"/>
      <c r="I19" s="196"/>
      <c r="J19" s="196"/>
      <c r="K19" s="196"/>
      <c r="L19" s="196"/>
      <c r="M19" s="231"/>
      <c r="N19" s="231"/>
      <c r="O19" s="196"/>
      <c r="P19" s="196"/>
      <c r="Q19" s="196"/>
      <c r="R19" s="196"/>
      <c r="S19" s="196"/>
      <c r="T19" s="196"/>
      <c r="U19" s="196"/>
      <c r="V19" s="196"/>
    </row>
    <row r="20" spans="1:22">
      <c r="A20" s="43"/>
      <c r="B20" s="36"/>
      <c r="C20" s="232"/>
      <c r="D20" s="233"/>
      <c r="E20" s="232"/>
      <c r="F20" s="232"/>
      <c r="G20" s="238"/>
      <c r="H20" s="200"/>
      <c r="I20" s="234"/>
      <c r="J20" s="234"/>
      <c r="K20" s="234"/>
      <c r="L20" s="234"/>
      <c r="M20" s="231"/>
      <c r="N20" s="231"/>
      <c r="O20" s="234"/>
      <c r="P20" s="234"/>
      <c r="Q20" s="234"/>
      <c r="R20" s="234"/>
      <c r="S20" s="234"/>
      <c r="T20" s="234"/>
      <c r="U20" s="234"/>
      <c r="V20" s="234"/>
    </row>
    <row r="21" spans="1:22">
      <c r="A21" s="11">
        <v>2</v>
      </c>
      <c r="B21" s="38" t="s">
        <v>18</v>
      </c>
      <c r="C21" s="198">
        <f t="shared" ref="C21:I21" si="15">C23+C28+C30+C32+C34</f>
        <v>79548957.332000002</v>
      </c>
      <c r="D21" s="198">
        <f t="shared" si="15"/>
        <v>83878703</v>
      </c>
      <c r="E21" s="198">
        <f t="shared" si="15"/>
        <v>87182070</v>
      </c>
      <c r="F21" s="198">
        <f t="shared" si="15"/>
        <v>89455275.940679997</v>
      </c>
      <c r="G21" s="198">
        <f t="shared" si="15"/>
        <v>92574021.322740003</v>
      </c>
      <c r="H21" s="198">
        <f t="shared" si="15"/>
        <v>91897571.999699995</v>
      </c>
      <c r="I21" s="198">
        <f t="shared" si="15"/>
        <v>89439753.805930004</v>
      </c>
      <c r="J21" s="198">
        <f t="shared" ref="J21:O21" si="16">J23+J28+J30+J32+J34</f>
        <v>92881670.236279994</v>
      </c>
      <c r="K21" s="198">
        <f t="shared" si="16"/>
        <v>83781204.058009997</v>
      </c>
      <c r="L21" s="198">
        <f t="shared" si="16"/>
        <v>91310046.356000006</v>
      </c>
      <c r="M21" s="198">
        <f t="shared" si="16"/>
        <v>92188367.791419998</v>
      </c>
      <c r="N21" s="198">
        <f t="shared" si="16"/>
        <v>93865677.822190002</v>
      </c>
      <c r="O21" s="198">
        <f t="shared" si="16"/>
        <v>101620893.46428001</v>
      </c>
      <c r="P21" s="198">
        <f t="shared" ref="P21:Q21" si="17">P23+P28+P30+P32+P34</f>
        <v>111262413.24665001</v>
      </c>
      <c r="Q21" s="198">
        <f t="shared" si="17"/>
        <v>112771800.99287</v>
      </c>
      <c r="R21" s="198">
        <f t="shared" ref="R21:S21" si="18">R23+R28+R30+R32+R34</f>
        <v>114970820.01314001</v>
      </c>
      <c r="S21" s="198">
        <f t="shared" si="18"/>
        <v>113237187.07161999</v>
      </c>
      <c r="T21" s="198">
        <f t="shared" ref="T21:U21" si="19">T23+T28+T30+T32+T34</f>
        <v>120747154.51365</v>
      </c>
      <c r="U21" s="198">
        <f t="shared" si="19"/>
        <v>126407878.82044001</v>
      </c>
      <c r="V21" s="198">
        <f>100*U21/$C21</f>
        <v>158.90576452545176</v>
      </c>
    </row>
    <row r="22" spans="1:22">
      <c r="A22" s="44"/>
      <c r="B22" s="45"/>
      <c r="C22" s="229"/>
      <c r="D22" s="230"/>
      <c r="E22" s="229"/>
      <c r="F22" s="229"/>
      <c r="G22" s="24"/>
      <c r="H22" s="196"/>
      <c r="I22" s="196"/>
      <c r="J22" s="196"/>
      <c r="K22" s="196"/>
      <c r="L22" s="196"/>
      <c r="M22" s="231"/>
      <c r="N22" s="231"/>
      <c r="O22" s="196"/>
      <c r="P22" s="196"/>
      <c r="Q22" s="196"/>
      <c r="R22" s="196"/>
      <c r="S22" s="196"/>
      <c r="T22" s="196"/>
      <c r="U22" s="196"/>
      <c r="V22" s="196"/>
    </row>
    <row r="23" spans="1:22">
      <c r="A23" s="46">
        <v>20</v>
      </c>
      <c r="B23" s="47" t="s">
        <v>19</v>
      </c>
      <c r="C23" s="198">
        <f t="shared" ref="C23:I23" si="20">SUM(C24:C26)</f>
        <v>62927682</v>
      </c>
      <c r="D23" s="198">
        <f t="shared" si="20"/>
        <v>68028160</v>
      </c>
      <c r="E23" s="198">
        <f t="shared" si="20"/>
        <v>72694899</v>
      </c>
      <c r="F23" s="198">
        <f t="shared" si="20"/>
        <v>76709798.565349996</v>
      </c>
      <c r="G23" s="198">
        <f t="shared" si="20"/>
        <v>79584268.634089991</v>
      </c>
      <c r="H23" s="198">
        <f t="shared" si="20"/>
        <v>73713638.304999992</v>
      </c>
      <c r="I23" s="198">
        <f t="shared" si="20"/>
        <v>70255579.713750005</v>
      </c>
      <c r="J23" s="198">
        <f t="shared" ref="J23:O23" si="21">SUM(J24:J26)</f>
        <v>69540447.376350001</v>
      </c>
      <c r="K23" s="198">
        <f t="shared" si="21"/>
        <v>57254247</v>
      </c>
      <c r="L23" s="198">
        <f t="shared" si="21"/>
        <v>56485062.558470003</v>
      </c>
      <c r="M23" s="198">
        <f t="shared" si="21"/>
        <v>57075373.047570005</v>
      </c>
      <c r="N23" s="198">
        <f t="shared" si="21"/>
        <v>56625382.482340001</v>
      </c>
      <c r="O23" s="198">
        <f t="shared" si="21"/>
        <v>61716708.559030004</v>
      </c>
      <c r="P23" s="198">
        <f t="shared" ref="P23:Q23" si="22">SUM(P24:P26)</f>
        <v>69419336.580980003</v>
      </c>
      <c r="Q23" s="198">
        <f t="shared" si="22"/>
        <v>75304899.960319996</v>
      </c>
      <c r="R23" s="198">
        <f t="shared" ref="R23:S23" si="23">SUM(R24:R26)</f>
        <v>76621912.654709995</v>
      </c>
      <c r="S23" s="198">
        <f t="shared" si="23"/>
        <v>78266862.178739995</v>
      </c>
      <c r="T23" s="198">
        <f t="shared" ref="T23:U23" si="24">SUM(T24:T26)</f>
        <v>79834145.600569993</v>
      </c>
      <c r="U23" s="198">
        <f t="shared" si="24"/>
        <v>81798612.807260007</v>
      </c>
      <c r="V23" s="198">
        <f>100*U23/$C23</f>
        <v>129.9882821160646</v>
      </c>
    </row>
    <row r="24" spans="1:22">
      <c r="A24" s="48" t="s">
        <v>20</v>
      </c>
      <c r="B24" s="49" t="s">
        <v>21</v>
      </c>
      <c r="C24" s="231">
        <f>SUM(AG:ZH!C24)</f>
        <v>14565155</v>
      </c>
      <c r="D24" s="231">
        <f>SUM(AG:ZH!D24)</f>
        <v>19335322</v>
      </c>
      <c r="E24" s="231">
        <f>SUM(AG:ZH!E24)</f>
        <v>25193393</v>
      </c>
      <c r="F24" s="231">
        <f>SUM(AG:ZH!F24)</f>
        <v>25164311.159140006</v>
      </c>
      <c r="G24" s="231">
        <f>SUM(AG:ZH!G24)</f>
        <v>25581270.867550001</v>
      </c>
      <c r="H24" s="231">
        <f>SUM(AG:ZH!H24)</f>
        <v>21555518.752999999</v>
      </c>
      <c r="I24" s="231">
        <f>SUM(AG:ZH!I24)</f>
        <v>21180742.618280001</v>
      </c>
      <c r="J24" s="231">
        <f>SUM(AG:ZH!J24)</f>
        <v>24437597.014699999</v>
      </c>
      <c r="K24" s="231">
        <f>SUM(AG:ZH!K24)</f>
        <v>18052253</v>
      </c>
      <c r="L24" s="231">
        <f>SUM(AG:ZH!L24)</f>
        <v>19698258.376740001</v>
      </c>
      <c r="M24" s="231">
        <f>SUM(AG:ZH!M24)</f>
        <v>19288064.359990001</v>
      </c>
      <c r="N24" s="231">
        <f>SUM(AG:ZH!N24)</f>
        <v>19973079.828810003</v>
      </c>
      <c r="O24" s="231">
        <f>SUM(AG:ZH!O24)</f>
        <v>22242997.012600005</v>
      </c>
      <c r="P24" s="231">
        <f>SUM(AG:ZH!P24)</f>
        <v>26201616.89556</v>
      </c>
      <c r="Q24" s="231">
        <f>SUM(AG:ZH!Q24)</f>
        <v>27433534.55517</v>
      </c>
      <c r="R24" s="231">
        <f>SUM(AG:ZH!R24)</f>
        <v>26479071.531140003</v>
      </c>
      <c r="S24" s="231">
        <f>SUM(AG:ZH!S24)</f>
        <v>28236224.686219998</v>
      </c>
      <c r="T24" s="231">
        <f>SUM(AG:ZH!T24)</f>
        <v>28332110.213449996</v>
      </c>
      <c r="U24" s="231">
        <f>SUM(AG:ZH!U24)</f>
        <v>29484041.445080005</v>
      </c>
      <c r="V24" s="231">
        <f>100*U24/$C24</f>
        <v>202.42861435446449</v>
      </c>
    </row>
    <row r="25" spans="1:22">
      <c r="A25" s="50">
        <v>202</v>
      </c>
      <c r="B25" s="51" t="s">
        <v>22</v>
      </c>
      <c r="C25" s="231">
        <f>SUM(AG:ZH!C25)</f>
        <v>44607924</v>
      </c>
      <c r="D25" s="231">
        <f>SUM(AG:ZH!D25)</f>
        <v>44662489</v>
      </c>
      <c r="E25" s="231">
        <f>SUM(AG:ZH!E25)</f>
        <v>43389161</v>
      </c>
      <c r="F25" s="231">
        <f>SUM(AG:ZH!F25)</f>
        <v>47700552.846649997</v>
      </c>
      <c r="G25" s="231">
        <f>SUM(AG:ZH!G25)</f>
        <v>50210792.858999997</v>
      </c>
      <c r="H25" s="231">
        <f>SUM(AG:ZH!H25)</f>
        <v>48681901</v>
      </c>
      <c r="I25" s="231">
        <f>SUM(AG:ZH!I25)</f>
        <v>45244049</v>
      </c>
      <c r="J25" s="231">
        <f>SUM(AG:ZH!J25)</f>
        <v>41149755.848300003</v>
      </c>
      <c r="K25" s="231">
        <f>SUM(AG:ZH!K25)</f>
        <v>35008839</v>
      </c>
      <c r="L25" s="231">
        <f>SUM(AG:ZH!L25)</f>
        <v>30926072.09513</v>
      </c>
      <c r="M25" s="231">
        <f>SUM(AG:ZH!M25)</f>
        <v>31483242.949760001</v>
      </c>
      <c r="N25" s="231">
        <f>SUM(AG:ZH!N25)</f>
        <v>29981198.961690001</v>
      </c>
      <c r="O25" s="231">
        <f>SUM(AG:ZH!O25)</f>
        <v>31505512.896780003</v>
      </c>
      <c r="P25" s="231">
        <f>SUM(AG:ZH!P25)</f>
        <v>34960361.336390004</v>
      </c>
      <c r="Q25" s="231">
        <f>SUM(AG:ZH!Q25)</f>
        <v>39775664.024179995</v>
      </c>
      <c r="R25" s="231">
        <f>SUM(AG:ZH!R25)</f>
        <v>41910325.926870003</v>
      </c>
      <c r="S25" s="231">
        <f>SUM(AG:ZH!S25)</f>
        <v>41251809.796020001</v>
      </c>
      <c r="T25" s="231">
        <f>SUM(AG:ZH!T25)</f>
        <v>42181625.568419993</v>
      </c>
      <c r="U25" s="231">
        <f>SUM(AG:ZH!U25)</f>
        <v>41249527.862539999</v>
      </c>
      <c r="V25" s="231">
        <f>100*U25/$C25</f>
        <v>92.471301427387644</v>
      </c>
    </row>
    <row r="26" spans="1:22">
      <c r="A26" s="50">
        <v>205</v>
      </c>
      <c r="B26" s="52" t="s">
        <v>23</v>
      </c>
      <c r="C26" s="231">
        <f>SUM(AG:ZH!C26)</f>
        <v>3754603</v>
      </c>
      <c r="D26" s="231">
        <f>SUM(AG:ZH!D26)</f>
        <v>4030349</v>
      </c>
      <c r="E26" s="231">
        <f>SUM(AG:ZH!E26)</f>
        <v>4112345</v>
      </c>
      <c r="F26" s="231">
        <f>SUM(AG:ZH!F26)</f>
        <v>3844934.55956</v>
      </c>
      <c r="G26" s="231">
        <f>SUM(AG:ZH!G26)</f>
        <v>3792204.90754</v>
      </c>
      <c r="H26" s="231">
        <f>SUM(AG:ZH!H26)</f>
        <v>3476218.5520000001</v>
      </c>
      <c r="I26" s="231">
        <f>SUM(AG:ZH!I26)</f>
        <v>3830788.0954700001</v>
      </c>
      <c r="J26" s="231">
        <f>SUM(AG:ZH!J26)</f>
        <v>3953094.5133500001</v>
      </c>
      <c r="K26" s="231">
        <f>SUM(AG:ZH!K26)</f>
        <v>4193155</v>
      </c>
      <c r="L26" s="231">
        <f>SUM(AG:ZH!L26)</f>
        <v>5860732.0866</v>
      </c>
      <c r="M26" s="231">
        <f>SUM(AG:ZH!M26)</f>
        <v>6304065.7378199995</v>
      </c>
      <c r="N26" s="231">
        <f>SUM(AG:ZH!N26)</f>
        <v>6671103.6918400005</v>
      </c>
      <c r="O26" s="231">
        <f>SUM(AG:ZH!O26)</f>
        <v>7968198.649650001</v>
      </c>
      <c r="P26" s="231">
        <f>SUM(AG:ZH!P26)</f>
        <v>8257358.3490300002</v>
      </c>
      <c r="Q26" s="231">
        <f>SUM(AG:ZH!Q26)</f>
        <v>8095701.3809699994</v>
      </c>
      <c r="R26" s="231">
        <f>SUM(AG:ZH!R26)</f>
        <v>8232515.1966999993</v>
      </c>
      <c r="S26" s="231">
        <f>SUM(AG:ZH!S26)</f>
        <v>8778827.6964999996</v>
      </c>
      <c r="T26" s="231">
        <f>SUM(AG:ZH!T26)</f>
        <v>9320409.8187000006</v>
      </c>
      <c r="U26" s="231">
        <f>SUM(AG:ZH!U26)</f>
        <v>11065043.499639999</v>
      </c>
      <c r="V26" s="231">
        <f>100*U26/$C26</f>
        <v>294.70608476155803</v>
      </c>
    </row>
    <row r="27" spans="1:22">
      <c r="A27" s="35"/>
      <c r="B27" s="36"/>
      <c r="C27" s="232"/>
      <c r="D27" s="233"/>
      <c r="E27" s="232"/>
      <c r="F27" s="232"/>
      <c r="G27" s="238"/>
      <c r="H27" s="200"/>
      <c r="I27" s="234"/>
      <c r="J27" s="234"/>
      <c r="K27" s="234"/>
      <c r="L27" s="234"/>
      <c r="M27" s="231"/>
      <c r="N27" s="231"/>
      <c r="O27" s="234"/>
      <c r="P27" s="234"/>
      <c r="Q27" s="234"/>
      <c r="R27" s="234"/>
      <c r="S27" s="234"/>
      <c r="T27" s="234"/>
      <c r="U27" s="234"/>
      <c r="V27" s="234"/>
    </row>
    <row r="28" spans="1:22">
      <c r="A28" s="11">
        <v>23</v>
      </c>
      <c r="B28" s="38" t="s">
        <v>24</v>
      </c>
      <c r="C28" s="198">
        <f>SUM(AG:ZH!C28)</f>
        <v>4380052</v>
      </c>
      <c r="D28" s="198">
        <f>SUM(AG:ZH!D28)</f>
        <v>3221368</v>
      </c>
      <c r="E28" s="198">
        <f>SUM(AG:ZH!E28)</f>
        <v>2633746</v>
      </c>
      <c r="F28" s="198">
        <f>SUM(AG:ZH!F28)</f>
        <v>2936705.1940000001</v>
      </c>
      <c r="G28" s="198">
        <f>SUM(AG:ZH!G28)</f>
        <v>2735089.014</v>
      </c>
      <c r="H28" s="198">
        <f>SUM(AG:ZH!H28)</f>
        <v>2170589</v>
      </c>
      <c r="I28" s="198">
        <f>SUM(AG:ZH!I28)</f>
        <v>2239774</v>
      </c>
      <c r="J28" s="198">
        <f>SUM(AG:ZH!J28)</f>
        <v>2541527.5267499997</v>
      </c>
      <c r="K28" s="198">
        <f>SUM(AG:ZH!K28)</f>
        <v>2627226</v>
      </c>
      <c r="L28" s="198">
        <f>SUM(AG:ZH!L28)</f>
        <v>1914436.4276099999</v>
      </c>
      <c r="M28" s="198">
        <f>SUM(AG:ZH!M28)</f>
        <v>1328887.1078699999</v>
      </c>
      <c r="N28" s="198">
        <f>SUM(AG:ZH!N28)</f>
        <v>963525.77706999995</v>
      </c>
      <c r="O28" s="198">
        <f>SUM(AG:ZH!O28)</f>
        <v>516564.03376000002</v>
      </c>
      <c r="P28" s="198">
        <f>SUM(AG:ZH!P28)</f>
        <v>498198.37747000006</v>
      </c>
      <c r="Q28" s="198">
        <f>SUM(AG:ZH!Q28)</f>
        <v>63580.032579999999</v>
      </c>
      <c r="R28" s="198">
        <f>SUM(AG:ZH!R28)</f>
        <v>44547.192880000002</v>
      </c>
      <c r="S28" s="198">
        <f>SUM(AG:ZH!S28)</f>
        <v>21705.77708</v>
      </c>
      <c r="T28" s="198">
        <f>SUM(AG:ZH!T28)</f>
        <v>24213.769639999999</v>
      </c>
      <c r="U28" s="198">
        <f>SUM(AG:ZH!U28)</f>
        <v>0</v>
      </c>
      <c r="V28" s="198">
        <f>100*U28/$C28</f>
        <v>0</v>
      </c>
    </row>
    <row r="29" spans="1:22">
      <c r="A29" s="53"/>
      <c r="B29" s="40"/>
      <c r="C29" s="229"/>
      <c r="D29" s="230"/>
      <c r="E29" s="229"/>
      <c r="F29" s="229"/>
      <c r="G29" s="213"/>
      <c r="H29" s="196"/>
      <c r="I29" s="196"/>
      <c r="J29" s="196"/>
      <c r="K29" s="196"/>
      <c r="L29" s="196"/>
      <c r="M29" s="231"/>
      <c r="N29" s="231"/>
      <c r="O29" s="196"/>
      <c r="P29" s="196"/>
      <c r="Q29" s="196"/>
      <c r="R29" s="196"/>
      <c r="S29" s="196"/>
      <c r="T29" s="196"/>
      <c r="U29" s="196"/>
      <c r="V29" s="196"/>
    </row>
    <row r="30" spans="1:22">
      <c r="A30" s="11">
        <v>24</v>
      </c>
      <c r="B30" s="38" t="s">
        <v>25</v>
      </c>
      <c r="C30" s="198">
        <f>SUM(AG:ZH!C30)</f>
        <v>5962393</v>
      </c>
      <c r="D30" s="198">
        <f>SUM(AG:ZH!D30)</f>
        <v>5904283</v>
      </c>
      <c r="E30" s="198">
        <f>SUM(AG:ZH!E30)</f>
        <v>5190590</v>
      </c>
      <c r="F30" s="198">
        <f>SUM(AG:ZH!F30)</f>
        <v>4134533.6023799996</v>
      </c>
      <c r="G30" s="198">
        <f>SUM(AG:ZH!G30)</f>
        <v>3757092.5604300001</v>
      </c>
      <c r="H30" s="198">
        <f>SUM(AG:ZH!H30)</f>
        <v>3758808.7880000002</v>
      </c>
      <c r="I30" s="198">
        <f>SUM(AG:ZH!I30)</f>
        <v>3643464</v>
      </c>
      <c r="J30" s="198">
        <f>SUM(AG:ZH!J30)</f>
        <v>5404778.5741100004</v>
      </c>
      <c r="K30" s="198">
        <f>SUM(AG:ZH!K30)</f>
        <v>4002377</v>
      </c>
      <c r="L30" s="198">
        <f>SUM(AG:ZH!L30)</f>
        <v>5361434.1703699995</v>
      </c>
      <c r="M30" s="198">
        <f>SUM(AG:ZH!M30)</f>
        <v>4973549.3847599998</v>
      </c>
      <c r="N30" s="198">
        <f>SUM(AG:ZH!N30)</f>
        <v>7476291.8140900005</v>
      </c>
      <c r="O30" s="198">
        <f>SUM(AG:ZH!O30)</f>
        <v>8673628.1440199986</v>
      </c>
      <c r="P30" s="198">
        <f>SUM(AG:ZH!P30)</f>
        <v>5738556.8407699997</v>
      </c>
      <c r="Q30" s="198">
        <f>SUM(AG:ZH!Q30)</f>
        <v>5183136.8361699991</v>
      </c>
      <c r="R30" s="198">
        <f>SUM(AG:ZH!R30)</f>
        <v>5545155.5282699997</v>
      </c>
      <c r="S30" s="198">
        <f>SUM(AG:ZH!S30)</f>
        <v>5836048.0474499986</v>
      </c>
      <c r="T30" s="198">
        <f>SUM(AG:ZH!T30)</f>
        <v>5916869.0751299998</v>
      </c>
      <c r="U30" s="198">
        <f>SUM(AG:ZH!U30)</f>
        <v>6899353.5217500003</v>
      </c>
      <c r="V30" s="198">
        <f>100*U30/$C30</f>
        <v>115.71450459152895</v>
      </c>
    </row>
    <row r="31" spans="1:22">
      <c r="A31" s="44"/>
      <c r="B31" s="45"/>
      <c r="C31" s="231"/>
      <c r="D31" s="230"/>
      <c r="E31" s="229"/>
      <c r="F31" s="229"/>
      <c r="G31" s="198"/>
      <c r="H31" s="196"/>
      <c r="I31" s="196"/>
      <c r="J31" s="196"/>
      <c r="K31" s="196"/>
      <c r="L31" s="196"/>
      <c r="M31" s="231"/>
      <c r="N31" s="231"/>
      <c r="O31" s="196"/>
      <c r="P31" s="196"/>
      <c r="Q31" s="196"/>
      <c r="R31" s="196"/>
      <c r="S31" s="196"/>
      <c r="T31" s="196"/>
      <c r="U31" s="196"/>
      <c r="V31" s="196"/>
    </row>
    <row r="32" spans="1:22">
      <c r="A32" s="54">
        <v>28</v>
      </c>
      <c r="B32" s="47" t="s">
        <v>26</v>
      </c>
      <c r="C32" s="198">
        <f>SUM(AG:ZH!C32)</f>
        <v>2196331</v>
      </c>
      <c r="D32" s="198">
        <f>SUM(AG:ZH!D32)</f>
        <v>2376664</v>
      </c>
      <c r="E32" s="198">
        <f>SUM(AG:ZH!E32)</f>
        <v>2416286</v>
      </c>
      <c r="F32" s="198">
        <f>SUM(AG:ZH!F32)</f>
        <v>2499628.3559500002</v>
      </c>
      <c r="G32" s="198">
        <f>SUM(AG:ZH!G32)</f>
        <v>2711944.2212199997</v>
      </c>
      <c r="H32" s="198">
        <f>SUM(AG:ZH!H32)</f>
        <v>3265839.1730200001</v>
      </c>
      <c r="I32" s="198">
        <f>SUM(AG:ZH!I32)</f>
        <v>3560218.0921800002</v>
      </c>
      <c r="J32" s="198">
        <f>SUM(AG:ZH!J32)</f>
        <v>4216302.0500000007</v>
      </c>
      <c r="K32" s="198">
        <f>SUM(AG:ZH!K32)</f>
        <v>4774330.0580099998</v>
      </c>
      <c r="L32" s="198">
        <f>SUM(AG:ZH!L32)</f>
        <v>4222580.4877800001</v>
      </c>
      <c r="M32" s="198">
        <f>SUM(AG:ZH!M32)</f>
        <v>4324674.8519700002</v>
      </c>
      <c r="N32" s="198">
        <f>SUM(AG:ZH!N32)</f>
        <v>4597459.9225399997</v>
      </c>
      <c r="O32" s="198">
        <f>SUM(AG:ZH!O32)</f>
        <v>4454499.6124299988</v>
      </c>
      <c r="P32" s="198">
        <f>SUM(AG:ZH!P32)</f>
        <v>4383193.1892399993</v>
      </c>
      <c r="Q32" s="198">
        <f>SUM(AG:ZH!Q32)</f>
        <v>3428046.51297</v>
      </c>
      <c r="R32" s="198">
        <f>SUM(AG:ZH!R32)</f>
        <v>3757527.9833799996</v>
      </c>
      <c r="S32" s="198">
        <f>SUM(AG:ZH!S32)</f>
        <v>2881910.6348599996</v>
      </c>
      <c r="T32" s="198">
        <f>SUM(AG:ZH!T32)</f>
        <v>3392086.2583000003</v>
      </c>
      <c r="U32" s="198">
        <f>SUM(AG:ZH!U32)</f>
        <v>2311399.5891100005</v>
      </c>
      <c r="V32" s="198">
        <f>100*U32/$C32</f>
        <v>105.23912785049249</v>
      </c>
    </row>
    <row r="33" spans="1:22">
      <c r="A33" s="53"/>
      <c r="B33" s="40"/>
      <c r="C33" s="229"/>
      <c r="D33" s="230"/>
      <c r="E33" s="229"/>
      <c r="F33" s="229"/>
      <c r="G33" s="198"/>
      <c r="H33" s="196"/>
      <c r="I33" s="196"/>
      <c r="J33" s="196"/>
      <c r="K33" s="196"/>
      <c r="L33" s="196"/>
      <c r="M33" s="231"/>
      <c r="N33" s="231"/>
      <c r="O33" s="196"/>
      <c r="P33" s="196"/>
      <c r="Q33" s="196"/>
      <c r="R33" s="196"/>
      <c r="S33" s="196"/>
      <c r="T33" s="196"/>
      <c r="U33" s="196"/>
      <c r="V33" s="196"/>
    </row>
    <row r="34" spans="1:22">
      <c r="A34" s="11">
        <v>29</v>
      </c>
      <c r="B34" s="38" t="s">
        <v>27</v>
      </c>
      <c r="C34" s="198">
        <f>SUM(AG:ZH!C34)</f>
        <v>4082499.3320000004</v>
      </c>
      <c r="D34" s="198">
        <f>SUM(AG:ZH!D34)</f>
        <v>4348228</v>
      </c>
      <c r="E34" s="198">
        <f>SUM(AG:ZH!E34)</f>
        <v>4246549</v>
      </c>
      <c r="F34" s="198">
        <f>SUM(AG:ZH!F34)</f>
        <v>3174610.2230000002</v>
      </c>
      <c r="G34" s="198">
        <f>SUM(AG:ZH!G34)</f>
        <v>3785626.8930000002</v>
      </c>
      <c r="H34" s="198">
        <f>SUM(AG:ZH!H34)</f>
        <v>8988696.7336799987</v>
      </c>
      <c r="I34" s="198">
        <f>SUM(AG:ZH!I34)</f>
        <v>9740718</v>
      </c>
      <c r="J34" s="198">
        <f>SUM(AG:ZH!J34)</f>
        <v>11178614.709070001</v>
      </c>
      <c r="K34" s="198">
        <f>SUM(AG:ZH!K34)</f>
        <v>15123024</v>
      </c>
      <c r="L34" s="198">
        <f>SUM(AG:ZH!L34)</f>
        <v>23326532.711769998</v>
      </c>
      <c r="M34" s="198">
        <f>SUM(AG:ZH!M34)</f>
        <v>24485883.399250001</v>
      </c>
      <c r="N34" s="198">
        <f>SUM(AG:ZH!N34)</f>
        <v>24203017.82615</v>
      </c>
      <c r="O34" s="198">
        <f>SUM(AG:ZH!O34)</f>
        <v>26259493.115040004</v>
      </c>
      <c r="P34" s="198">
        <f>SUM(AG:ZH!P34)</f>
        <v>31223128.258189999</v>
      </c>
      <c r="Q34" s="198">
        <f>SUM(AG:ZH!Q34)</f>
        <v>28792137.650830001</v>
      </c>
      <c r="R34" s="198">
        <f>SUM(AG:ZH!R34)</f>
        <v>29001676.653900001</v>
      </c>
      <c r="S34" s="198">
        <f>SUM(AG:ZH!S34)</f>
        <v>26230660.433490001</v>
      </c>
      <c r="T34" s="198">
        <f>SUM(AG:ZH!T34)</f>
        <v>31579839.810010009</v>
      </c>
      <c r="U34" s="198">
        <f>SUM(AG:ZH!U34)</f>
        <v>35398512.902319998</v>
      </c>
      <c r="V34" s="198">
        <f>100*U34/$C34</f>
        <v>867.07945362916712</v>
      </c>
    </row>
    <row r="35" spans="1:22">
      <c r="A35" s="289" t="s">
        <v>7</v>
      </c>
      <c r="B35" s="42" t="s">
        <v>101</v>
      </c>
      <c r="C35" s="56"/>
      <c r="D35" s="57"/>
      <c r="E35" s="56"/>
      <c r="F35" s="56"/>
      <c r="G35" s="56"/>
      <c r="H35" s="18"/>
      <c r="I35" s="169"/>
      <c r="J35" s="169"/>
      <c r="M35" s="231"/>
      <c r="N35" s="231"/>
    </row>
    <row r="36" spans="1:22">
      <c r="A36" s="290" t="s">
        <v>14</v>
      </c>
      <c r="B36" s="89" t="s">
        <v>100</v>
      </c>
      <c r="C36" s="160"/>
      <c r="D36" s="160"/>
      <c r="E36" s="160"/>
      <c r="F36" s="160"/>
      <c r="G36" s="160"/>
      <c r="H36" s="96"/>
      <c r="I36" s="96"/>
      <c r="J36" s="96"/>
    </row>
    <row r="37" spans="1:22">
      <c r="A37" s="89"/>
      <c r="B37" s="89"/>
      <c r="C37" s="160"/>
      <c r="D37" s="160"/>
      <c r="E37" s="160"/>
      <c r="F37" s="160"/>
      <c r="G37" s="160"/>
      <c r="H37" s="96"/>
      <c r="I37" s="96"/>
      <c r="J37" s="96"/>
    </row>
    <row r="41" spans="1:22">
      <c r="A41" s="7"/>
      <c r="B41" s="8" t="s">
        <v>99</v>
      </c>
      <c r="C41" s="394">
        <f>C1</f>
        <v>2000</v>
      </c>
      <c r="D41" s="394">
        <f>D1</f>
        <v>2001</v>
      </c>
      <c r="E41" s="394">
        <f>E1</f>
        <v>2002</v>
      </c>
      <c r="F41" s="394">
        <f>F1</f>
        <v>2003</v>
      </c>
      <c r="G41" s="394">
        <f>G1</f>
        <v>2004</v>
      </c>
      <c r="H41" s="394">
        <f>H1</f>
        <v>2005</v>
      </c>
      <c r="I41" s="394">
        <f>I1</f>
        <v>2006</v>
      </c>
      <c r="J41" s="394">
        <f>J1</f>
        <v>2007</v>
      </c>
      <c r="K41" s="394">
        <f>K1</f>
        <v>2008</v>
      </c>
      <c r="L41" s="394">
        <f>L1</f>
        <v>2009</v>
      </c>
      <c r="M41" s="394">
        <f>M1</f>
        <v>2010</v>
      </c>
      <c r="N41" s="394">
        <f>N1</f>
        <v>2011</v>
      </c>
      <c r="O41" s="394">
        <f>O1</f>
        <v>2012</v>
      </c>
      <c r="P41" s="394">
        <f>P1</f>
        <v>2013</v>
      </c>
      <c r="Q41" s="394">
        <f>Q1</f>
        <v>2014</v>
      </c>
      <c r="R41" s="394">
        <f>R1</f>
        <v>2015</v>
      </c>
      <c r="S41" s="394">
        <f>S1</f>
        <v>2016</v>
      </c>
      <c r="T41" s="394">
        <f>T1</f>
        <v>2017</v>
      </c>
      <c r="U41" s="394">
        <f>U1</f>
        <v>2018</v>
      </c>
      <c r="V41" s="394">
        <f>V1</f>
        <v>2018</v>
      </c>
    </row>
    <row r="42" spans="1:22">
      <c r="A42" s="39"/>
      <c r="B42" s="393" t="str">
        <f>"Bilans 2000 - "&amp;V41</f>
        <v>Bilans 2000 - 2018</v>
      </c>
      <c r="C42" s="79"/>
      <c r="D42" s="79"/>
      <c r="E42" s="79"/>
      <c r="F42" s="79"/>
      <c r="G42" s="79"/>
      <c r="H42" s="79"/>
      <c r="I42" s="79"/>
      <c r="J42" s="79"/>
      <c r="K42" s="79"/>
      <c r="L42" s="79"/>
      <c r="M42" s="79"/>
      <c r="N42" s="79"/>
      <c r="O42" s="79"/>
      <c r="P42" s="79"/>
      <c r="Q42" s="79"/>
      <c r="R42" s="79"/>
      <c r="S42" s="79"/>
      <c r="T42" s="79"/>
      <c r="U42" s="79"/>
      <c r="V42" s="79" t="s">
        <v>88</v>
      </c>
    </row>
    <row r="43" spans="1:22">
      <c r="A43" s="186"/>
      <c r="B43" s="166"/>
      <c r="C43" s="86" t="s">
        <v>4</v>
      </c>
      <c r="D43" s="86" t="s">
        <v>4</v>
      </c>
      <c r="E43" s="86" t="s">
        <v>4</v>
      </c>
      <c r="F43" s="86" t="s">
        <v>4</v>
      </c>
      <c r="G43" s="86" t="s">
        <v>4</v>
      </c>
      <c r="H43" s="86" t="s">
        <v>4</v>
      </c>
      <c r="I43" s="9" t="s">
        <v>4</v>
      </c>
      <c r="J43" s="9" t="s">
        <v>4</v>
      </c>
      <c r="K43" s="9" t="s">
        <v>4</v>
      </c>
      <c r="L43" s="9" t="s">
        <v>4</v>
      </c>
      <c r="M43" s="9" t="s">
        <v>4</v>
      </c>
      <c r="N43" s="9" t="s">
        <v>4</v>
      </c>
      <c r="O43" s="9" t="s">
        <v>4</v>
      </c>
      <c r="P43" s="9" t="s">
        <v>4</v>
      </c>
      <c r="Q43" s="9" t="s">
        <v>4</v>
      </c>
      <c r="R43" s="9" t="s">
        <v>4</v>
      </c>
      <c r="S43" s="9" t="s">
        <v>4</v>
      </c>
      <c r="T43" s="9" t="s">
        <v>4</v>
      </c>
      <c r="U43" s="9" t="s">
        <v>4</v>
      </c>
      <c r="V43" s="9" t="s">
        <v>89</v>
      </c>
    </row>
    <row r="44" spans="1:22">
      <c r="A44" s="11">
        <v>1</v>
      </c>
      <c r="B44" s="12" t="s">
        <v>32</v>
      </c>
      <c r="C44" s="228">
        <f>C4</f>
        <v>79548957.332000002</v>
      </c>
      <c r="D44" s="228">
        <f>D4</f>
        <v>83878703.031000003</v>
      </c>
      <c r="E44" s="228">
        <f>E4</f>
        <v>87182070.502999991</v>
      </c>
      <c r="F44" s="228">
        <f>F4</f>
        <v>89455276.277129993</v>
      </c>
      <c r="G44" s="228">
        <f>G4</f>
        <v>92574021.073190004</v>
      </c>
      <c r="H44" s="228">
        <f>H4</f>
        <v>91897571.529000014</v>
      </c>
      <c r="I44" s="198">
        <f>I4</f>
        <v>89439753.623630002</v>
      </c>
      <c r="J44" s="198">
        <f>J4</f>
        <v>92881670.31874001</v>
      </c>
      <c r="K44" s="198">
        <f>K4</f>
        <v>83781203.599000007</v>
      </c>
      <c r="L44" s="198">
        <f>L4</f>
        <v>91310045.940449983</v>
      </c>
      <c r="M44" s="198">
        <f>M4</f>
        <v>92188368.085912004</v>
      </c>
      <c r="N44" s="198">
        <f>N4</f>
        <v>98940971.807300001</v>
      </c>
      <c r="O44" s="198">
        <f>O4</f>
        <v>101620892.97227</v>
      </c>
      <c r="P44" s="198">
        <f>P4</f>
        <v>111262413.42570001</v>
      </c>
      <c r="Q44" s="198">
        <f>Q4</f>
        <v>112771800.30999999</v>
      </c>
      <c r="R44" s="198">
        <f>R4</f>
        <v>114970819.48957899</v>
      </c>
      <c r="S44" s="198">
        <f>S4</f>
        <v>113237187.47046399</v>
      </c>
      <c r="T44" s="198">
        <f>T4</f>
        <v>120747154.98996001</v>
      </c>
      <c r="U44" s="198">
        <f>U4</f>
        <v>126407878.10433</v>
      </c>
      <c r="V44" s="198">
        <f>100*U44/$C44</f>
        <v>158.90576362523882</v>
      </c>
    </row>
    <row r="45" spans="1:22">
      <c r="A45" s="14"/>
      <c r="B45" s="15"/>
      <c r="C45" s="229"/>
      <c r="D45" s="230"/>
      <c r="E45" s="229"/>
      <c r="F45" s="229"/>
      <c r="G45" s="27"/>
      <c r="H45" s="196"/>
      <c r="I45" s="196"/>
      <c r="J45" s="196"/>
      <c r="K45" s="196"/>
      <c r="L45" s="196"/>
      <c r="M45" s="196"/>
      <c r="N45" s="196"/>
      <c r="O45" s="196"/>
      <c r="P45" s="196"/>
      <c r="Q45" s="196"/>
      <c r="R45" s="196"/>
      <c r="S45" s="196"/>
      <c r="T45" s="196"/>
      <c r="U45" s="196"/>
      <c r="V45" s="196"/>
    </row>
    <row r="46" spans="1:22">
      <c r="A46" s="19">
        <v>10</v>
      </c>
      <c r="B46" s="12" t="s">
        <v>33</v>
      </c>
      <c r="C46" s="198">
        <f>C6</f>
        <v>26261258.332000002</v>
      </c>
      <c r="D46" s="198">
        <f>D6</f>
        <v>31421578.030999999</v>
      </c>
      <c r="E46" s="198">
        <f>E6</f>
        <v>34642363.502999999</v>
      </c>
      <c r="F46" s="198">
        <f>F6</f>
        <v>36417233.295639999</v>
      </c>
      <c r="G46" s="198">
        <f>G6</f>
        <v>38107577.569839999</v>
      </c>
      <c r="H46" s="198">
        <f>H6</f>
        <v>44767581.680000007</v>
      </c>
      <c r="I46" s="198">
        <f>I6</f>
        <v>43693971.219269998</v>
      </c>
      <c r="J46" s="198">
        <f>J6</f>
        <v>46930609.322039999</v>
      </c>
      <c r="K46" s="198">
        <f>K6</f>
        <v>36317822.598999999</v>
      </c>
      <c r="L46" s="198">
        <f>L6</f>
        <v>38642678.164069995</v>
      </c>
      <c r="M46" s="198">
        <f>M6</f>
        <v>39589017.185940005</v>
      </c>
      <c r="N46" s="198">
        <f>N6</f>
        <v>45019219.984459981</v>
      </c>
      <c r="O46" s="198">
        <f>O6</f>
        <v>42872054.408089995</v>
      </c>
      <c r="P46" s="198">
        <f>P6</f>
        <v>47255877.709180005</v>
      </c>
      <c r="Q46" s="198">
        <f>Q6</f>
        <v>49225579.961189993</v>
      </c>
      <c r="R46" s="198">
        <f>R6</f>
        <v>48559597.84507899</v>
      </c>
      <c r="S46" s="198">
        <f>S6</f>
        <v>51121923.465623997</v>
      </c>
      <c r="T46" s="198">
        <f>T6</f>
        <v>53131622.91054</v>
      </c>
      <c r="U46" s="198">
        <f>U6</f>
        <v>57136457.254760005</v>
      </c>
      <c r="V46" s="198">
        <f>100*U46/$C46</f>
        <v>217.56938122472906</v>
      </c>
    </row>
    <row r="47" spans="1:22">
      <c r="A47" s="20" t="s">
        <v>7</v>
      </c>
      <c r="B47" s="21" t="s">
        <v>34</v>
      </c>
      <c r="C47" s="231">
        <f>C7</f>
        <v>17137070.332000002</v>
      </c>
      <c r="D47" s="231">
        <f>D7</f>
        <v>19798071.030999999</v>
      </c>
      <c r="E47" s="231">
        <f>E7</f>
        <v>20436049.502999999</v>
      </c>
      <c r="F47" s="231">
        <f>F7</f>
        <v>21921532.211660001</v>
      </c>
      <c r="G47" s="231">
        <f>G7</f>
        <v>20725870.910629999</v>
      </c>
      <c r="H47" s="231">
        <f>H7</f>
        <v>26389521.159000002</v>
      </c>
      <c r="I47" s="231">
        <f>I7</f>
        <v>23643361.604729999</v>
      </c>
      <c r="J47" s="231">
        <f>J7</f>
        <v>26047457.810289998</v>
      </c>
      <c r="K47" s="231">
        <f>K7</f>
        <v>26351473.598999999</v>
      </c>
      <c r="L47" s="231">
        <f>L7</f>
        <v>27353674.054719999</v>
      </c>
      <c r="M47" s="231">
        <f>M7</f>
        <v>27216297.27922</v>
      </c>
      <c r="N47" s="231">
        <f>N7</f>
        <v>32554981.235139981</v>
      </c>
      <c r="O47" s="231">
        <f>O7</f>
        <v>29060314.651809998</v>
      </c>
      <c r="P47" s="231">
        <f>P7</f>
        <v>28575733.201600004</v>
      </c>
      <c r="Q47" s="231">
        <f>Q7</f>
        <v>25468512.362580001</v>
      </c>
      <c r="R47" s="231">
        <f>R7</f>
        <v>24277123.128959998</v>
      </c>
      <c r="S47" s="231">
        <f>S7</f>
        <v>25993281.269774001</v>
      </c>
      <c r="T47" s="231">
        <f>T7</f>
        <v>27125806.516109999</v>
      </c>
      <c r="U47" s="231">
        <f>U7</f>
        <v>29664997.762739997</v>
      </c>
      <c r="V47" s="231">
        <f>100*U47/$C47</f>
        <v>173.104254041291</v>
      </c>
    </row>
    <row r="48" spans="1:22">
      <c r="A48" s="25">
        <v>102</v>
      </c>
      <c r="B48" s="26" t="s">
        <v>35</v>
      </c>
      <c r="C48" s="231">
        <f>C8</f>
        <v>5659376</v>
      </c>
      <c r="D48" s="231">
        <f>D8</f>
        <v>5654453</v>
      </c>
      <c r="E48" s="231">
        <f>E8</f>
        <v>5847689</v>
      </c>
      <c r="F48" s="231">
        <f>F8</f>
        <v>6527951.7146500004</v>
      </c>
      <c r="G48" s="231">
        <f>G8</f>
        <v>6616392.85188</v>
      </c>
      <c r="H48" s="231">
        <f>H8</f>
        <v>8450705.3729999997</v>
      </c>
      <c r="I48" s="231">
        <f>I8</f>
        <v>8800350.9404699989</v>
      </c>
      <c r="J48" s="231">
        <f>J8</f>
        <v>7699313.3473399989</v>
      </c>
      <c r="K48" s="231">
        <f>K8</f>
        <v>6649856</v>
      </c>
      <c r="L48" s="231">
        <f>L8</f>
        <v>7903194.2350200005</v>
      </c>
      <c r="M48" s="231">
        <f>M8</f>
        <v>8571286.0158799998</v>
      </c>
      <c r="N48" s="231">
        <f>N8</f>
        <v>8301897.0345100015</v>
      </c>
      <c r="O48" s="231">
        <f>O8</f>
        <v>9550694.0233100001</v>
      </c>
      <c r="P48" s="231">
        <f>P8</f>
        <v>11473136.02059</v>
      </c>
      <c r="Q48" s="231">
        <f>Q8</f>
        <v>11673512.5057</v>
      </c>
      <c r="R48" s="231">
        <f>R8</f>
        <v>12444946.108828995</v>
      </c>
      <c r="S48" s="231">
        <f>S8</f>
        <v>13761992.852559997</v>
      </c>
      <c r="T48" s="231">
        <f>T8</f>
        <v>13534591.101689998</v>
      </c>
      <c r="U48" s="231">
        <f>U8</f>
        <v>13912193.874650002</v>
      </c>
      <c r="V48" s="231">
        <f>100*U48/$C48</f>
        <v>245.82557996941716</v>
      </c>
    </row>
    <row r="49" spans="1:22">
      <c r="A49" s="25">
        <v>103</v>
      </c>
      <c r="B49" s="26" t="s">
        <v>36</v>
      </c>
      <c r="C49" s="231">
        <f>C9</f>
        <v>3464812</v>
      </c>
      <c r="D49" s="231">
        <f>D9</f>
        <v>5969054</v>
      </c>
      <c r="E49" s="231">
        <f>E9</f>
        <v>8358625</v>
      </c>
      <c r="F49" s="231">
        <f>F9</f>
        <v>7967749.3693299992</v>
      </c>
      <c r="G49" s="231">
        <f>G9</f>
        <v>10765313.807329999</v>
      </c>
      <c r="H49" s="231">
        <f>H9</f>
        <v>9927355.148</v>
      </c>
      <c r="I49" s="231">
        <f>I9</f>
        <v>11250258.674070001</v>
      </c>
      <c r="J49" s="231">
        <f>J9</f>
        <v>13183838.164410001</v>
      </c>
      <c r="K49" s="231">
        <f>K9</f>
        <v>3316493</v>
      </c>
      <c r="L49" s="231">
        <f>L9</f>
        <v>3385809.87433</v>
      </c>
      <c r="M49" s="231">
        <f>M9</f>
        <v>3801433.89084</v>
      </c>
      <c r="N49" s="231">
        <f>N9</f>
        <v>4162341.7148099993</v>
      </c>
      <c r="O49" s="231">
        <f>O9</f>
        <v>4261045.7329700002</v>
      </c>
      <c r="P49" s="231">
        <f>P9</f>
        <v>7207008.4869900001</v>
      </c>
      <c r="Q49" s="231">
        <f>Q9</f>
        <v>12083555.092909992</v>
      </c>
      <c r="R49" s="231">
        <f>R9</f>
        <v>11837528.607289998</v>
      </c>
      <c r="S49" s="231">
        <f>S9</f>
        <v>11366649.343290001</v>
      </c>
      <c r="T49" s="231">
        <f>T9</f>
        <v>12471225.292739999</v>
      </c>
      <c r="U49" s="231">
        <f>U9</f>
        <v>13559265.61737</v>
      </c>
      <c r="V49" s="231">
        <f>100*U49/$C49</f>
        <v>391.34203002558291</v>
      </c>
    </row>
    <row r="50" spans="1:22">
      <c r="A50" s="28"/>
      <c r="B50" s="29"/>
      <c r="C50" s="232"/>
      <c r="D50" s="233"/>
      <c r="E50" s="232"/>
      <c r="F50" s="232"/>
      <c r="G50" s="27"/>
      <c r="H50" s="196"/>
      <c r="I50" s="196"/>
      <c r="J50" s="196"/>
      <c r="K50" s="196"/>
      <c r="L50" s="196"/>
      <c r="M50" s="196"/>
      <c r="N50" s="196"/>
      <c r="O50" s="196"/>
      <c r="P50" s="196"/>
      <c r="Q50" s="196"/>
      <c r="R50" s="196"/>
      <c r="S50" s="196"/>
      <c r="T50" s="196"/>
      <c r="U50" s="196"/>
      <c r="V50" s="196"/>
    </row>
    <row r="51" spans="1:22">
      <c r="A51" s="19">
        <v>11</v>
      </c>
      <c r="B51" s="12" t="s">
        <v>37</v>
      </c>
      <c r="C51" s="198">
        <f>C11</f>
        <v>35723786</v>
      </c>
      <c r="D51" s="198">
        <f>D11</f>
        <v>34793048</v>
      </c>
      <c r="E51" s="198">
        <f>E11</f>
        <v>34099369</v>
      </c>
      <c r="F51" s="198">
        <f>F11</f>
        <v>34936163.622519992</v>
      </c>
      <c r="G51" s="198">
        <f>G11</f>
        <v>34651238.376790002</v>
      </c>
      <c r="H51" s="198">
        <f>H11</f>
        <v>33101289.636</v>
      </c>
      <c r="I51" s="198">
        <f>I11</f>
        <v>32865486.728459999</v>
      </c>
      <c r="J51" s="198">
        <f>J11</f>
        <v>33782825.067769997</v>
      </c>
      <c r="K51" s="198">
        <f>K11</f>
        <v>41666942</v>
      </c>
      <c r="L51" s="198">
        <f>L11</f>
        <v>47909734.704459995</v>
      </c>
      <c r="M51" s="198">
        <f>M11</f>
        <v>47905021.516401999</v>
      </c>
      <c r="N51" s="198">
        <f>N11</f>
        <v>49547949.893280007</v>
      </c>
      <c r="O51" s="198">
        <f>O11</f>
        <v>54627938.733060002</v>
      </c>
      <c r="P51" s="198">
        <f>P11</f>
        <v>59453884.103920005</v>
      </c>
      <c r="Q51" s="198">
        <f>Q11</f>
        <v>60816270.884809993</v>
      </c>
      <c r="R51" s="198">
        <f>R11</f>
        <v>61810970.858429998</v>
      </c>
      <c r="S51" s="198">
        <f>S11</f>
        <v>60988069.472349994</v>
      </c>
      <c r="T51" s="198">
        <f>T11</f>
        <v>66411616.409080014</v>
      </c>
      <c r="U51" s="198">
        <f>U11</f>
        <v>68833356.876589999</v>
      </c>
      <c r="V51" s="198">
        <f>100*U51/$C51</f>
        <v>192.68214426262097</v>
      </c>
    </row>
    <row r="52" spans="1:22">
      <c r="A52" s="32">
        <v>114</v>
      </c>
      <c r="B52" s="21" t="s">
        <v>38</v>
      </c>
      <c r="C52" s="231">
        <f>C12</f>
        <v>17281639</v>
      </c>
      <c r="D52" s="231">
        <f>D12</f>
        <v>17744632</v>
      </c>
      <c r="E52" s="231">
        <f>E12</f>
        <v>18126885</v>
      </c>
      <c r="F52" s="231">
        <f>F12</f>
        <v>18356989.025799997</v>
      </c>
      <c r="G52" s="231">
        <f>G12</f>
        <v>17974529.111730002</v>
      </c>
      <c r="H52" s="231">
        <f>H12</f>
        <v>17139649.02</v>
      </c>
      <c r="I52" s="231">
        <f>I12</f>
        <v>16840922.960919999</v>
      </c>
      <c r="J52" s="231">
        <f>J12</f>
        <v>16860409.383079998</v>
      </c>
      <c r="K52" s="231">
        <f>K12</f>
        <v>23572034</v>
      </c>
      <c r="L52" s="231">
        <f>L12</f>
        <v>27578271.299399998</v>
      </c>
      <c r="M52" s="231">
        <f>M12</f>
        <v>28283539.777559999</v>
      </c>
      <c r="N52" s="231">
        <f>N12</f>
        <v>29230896.362180002</v>
      </c>
      <c r="O52" s="231">
        <f>O12</f>
        <v>31902973.934710003</v>
      </c>
      <c r="P52" s="231">
        <f>P12</f>
        <v>35314288.294740006</v>
      </c>
      <c r="Q52" s="231">
        <f>Q12</f>
        <v>38833642.707269996</v>
      </c>
      <c r="R52" s="231">
        <f>R12</f>
        <v>39172783.706799999</v>
      </c>
      <c r="S52" s="231">
        <f>S12</f>
        <v>39252768.796279997</v>
      </c>
      <c r="T52" s="231">
        <f>T12</f>
        <v>42329556.58363001</v>
      </c>
      <c r="U52" s="231">
        <f>U12</f>
        <v>43357932.495049998</v>
      </c>
      <c r="V52" s="231">
        <f>100*U52/$C52</f>
        <v>250.89016438226722</v>
      </c>
    </row>
    <row r="53" spans="1:22">
      <c r="A53" s="25">
        <v>115</v>
      </c>
      <c r="B53" s="26" t="s">
        <v>39</v>
      </c>
      <c r="C53" s="231">
        <f>C13</f>
        <v>12969907</v>
      </c>
      <c r="D53" s="231">
        <f>D13</f>
        <v>11411715</v>
      </c>
      <c r="E53" s="231">
        <f>E13</f>
        <v>10336964</v>
      </c>
      <c r="F53" s="231">
        <f>F13</f>
        <v>11008636.34292</v>
      </c>
      <c r="G53" s="231">
        <f>G13</f>
        <v>11677143.301070001</v>
      </c>
      <c r="H53" s="231">
        <f>H13</f>
        <v>11506506.409</v>
      </c>
      <c r="I53" s="231">
        <f>I13</f>
        <v>11935190.4671</v>
      </c>
      <c r="J53" s="231">
        <f>J13</f>
        <v>12833715.525479998</v>
      </c>
      <c r="K53" s="231">
        <f>K13</f>
        <v>13307800</v>
      </c>
      <c r="L53" s="231">
        <f>L13</f>
        <v>14510888.42811</v>
      </c>
      <c r="M53" s="231">
        <f>M13</f>
        <v>13806872.65862</v>
      </c>
      <c r="N53" s="231">
        <f>N13</f>
        <v>14410754.873400001</v>
      </c>
      <c r="O53" s="231">
        <f>O13</f>
        <v>16974922.921499997</v>
      </c>
      <c r="P53" s="231">
        <f>P13</f>
        <v>18264705.019239999</v>
      </c>
      <c r="Q53" s="231">
        <f>Q13</f>
        <v>15793357.132109998</v>
      </c>
      <c r="R53" s="231">
        <f>R13</f>
        <v>16536472.77691</v>
      </c>
      <c r="S53" s="231">
        <f>S13</f>
        <v>15445205.86411</v>
      </c>
      <c r="T53" s="231">
        <f>T13</f>
        <v>16592498.74045</v>
      </c>
      <c r="U53" s="231">
        <f>U13</f>
        <v>17880846.47002</v>
      </c>
      <c r="V53" s="231">
        <f>100*U53/$C53</f>
        <v>137.86410704425253</v>
      </c>
    </row>
    <row r="54" spans="1:22" s="292" customFormat="1" ht="25.5">
      <c r="A54" s="267" t="s">
        <v>14</v>
      </c>
      <c r="B54" s="268" t="s">
        <v>53</v>
      </c>
      <c r="C54" s="291">
        <f>C14</f>
        <v>5472240</v>
      </c>
      <c r="D54" s="291">
        <f>D14</f>
        <v>5636701</v>
      </c>
      <c r="E54" s="291">
        <f>E14</f>
        <v>5635520</v>
      </c>
      <c r="F54" s="291">
        <f>F14</f>
        <v>5570538.2538000001</v>
      </c>
      <c r="G54" s="291">
        <f>G14</f>
        <v>4999565.9639900001</v>
      </c>
      <c r="H54" s="291">
        <f>H14</f>
        <v>4455134.2070000004</v>
      </c>
      <c r="I54" s="291">
        <f>I14</f>
        <v>4089373.3004399999</v>
      </c>
      <c r="J54" s="291">
        <f>J14</f>
        <v>4088700.1592100002</v>
      </c>
      <c r="K54" s="291">
        <f>K14</f>
        <v>4787108</v>
      </c>
      <c r="L54" s="291">
        <f>L14</f>
        <v>5820574.97695</v>
      </c>
      <c r="M54" s="291">
        <f>M14</f>
        <v>5814609.0802220004</v>
      </c>
      <c r="N54" s="291">
        <f>N14</f>
        <v>5906298.6577000003</v>
      </c>
      <c r="O54" s="291">
        <f>O14</f>
        <v>5750041.8768500006</v>
      </c>
      <c r="P54" s="291">
        <f>P14</f>
        <v>5874890.7899399996</v>
      </c>
      <c r="Q54" s="291">
        <f>Q14</f>
        <v>6189271.0454299999</v>
      </c>
      <c r="R54" s="291">
        <f>R14</f>
        <v>6101714.3747199997</v>
      </c>
      <c r="S54" s="291">
        <f>S14</f>
        <v>6290094.8119599996</v>
      </c>
      <c r="T54" s="291">
        <f>T14</f>
        <v>7489561.0850000009</v>
      </c>
      <c r="U54" s="291">
        <f>U14</f>
        <v>7594577.9115200005</v>
      </c>
      <c r="V54" s="291">
        <f>100*U54/$C54</f>
        <v>138.78371400961947</v>
      </c>
    </row>
    <row r="55" spans="1:22">
      <c r="A55" s="35"/>
      <c r="B55" s="36"/>
      <c r="C55" s="232"/>
      <c r="D55" s="233"/>
      <c r="E55" s="232"/>
      <c r="F55" s="232"/>
      <c r="G55" s="27"/>
      <c r="H55" s="200"/>
      <c r="I55" s="234"/>
      <c r="J55" s="234"/>
      <c r="K55" s="234"/>
      <c r="L55" s="234"/>
      <c r="M55" s="234"/>
      <c r="N55" s="234"/>
      <c r="O55" s="234"/>
      <c r="P55" s="234"/>
      <c r="Q55" s="234"/>
      <c r="R55" s="234"/>
      <c r="S55" s="234"/>
      <c r="T55" s="234"/>
      <c r="U55" s="234"/>
      <c r="V55" s="234"/>
    </row>
    <row r="56" spans="1:22">
      <c r="A56" s="11">
        <v>12</v>
      </c>
      <c r="B56" s="38" t="s">
        <v>41</v>
      </c>
      <c r="C56" s="198">
        <f>C16</f>
        <v>301800</v>
      </c>
      <c r="D56" s="198">
        <f>D16</f>
        <v>328793</v>
      </c>
      <c r="E56" s="198">
        <f>E16</f>
        <v>334489</v>
      </c>
      <c r="F56" s="198">
        <f>F16</f>
        <v>350285.95199999999</v>
      </c>
      <c r="G56" s="198">
        <f>G16</f>
        <v>1290226.855</v>
      </c>
      <c r="H56" s="198">
        <f>H16</f>
        <v>292016.06900000002</v>
      </c>
      <c r="I56" s="198">
        <f>I16</f>
        <v>236781.86170000001</v>
      </c>
      <c r="J56" s="198">
        <f>J16</f>
        <v>819886.47873999993</v>
      </c>
      <c r="K56" s="198">
        <f>K16</f>
        <v>2126484</v>
      </c>
      <c r="L56" s="198">
        <f>L16</f>
        <v>1907990</v>
      </c>
      <c r="M56" s="198">
        <f>M16</f>
        <v>2088541.7170099998</v>
      </c>
      <c r="N56" s="198">
        <f>N16</f>
        <v>1857513.8267900003</v>
      </c>
      <c r="O56" s="198">
        <f>O16</f>
        <v>1305684.5057699999</v>
      </c>
      <c r="P56" s="198">
        <f>P16</f>
        <v>1456540.3416200001</v>
      </c>
      <c r="Q56" s="198">
        <f>Q16</f>
        <v>460767.87700000004</v>
      </c>
      <c r="R56" s="198">
        <f>R16</f>
        <v>444507.23100000003</v>
      </c>
      <c r="S56" s="198">
        <f>S16</f>
        <v>438187.49099999998</v>
      </c>
      <c r="T56" s="198">
        <f>T16</f>
        <v>462635.33734000003</v>
      </c>
      <c r="U56" s="198">
        <f>U16</f>
        <v>438063.97297999996</v>
      </c>
      <c r="V56" s="198">
        <f>100*U56/$C56</f>
        <v>145.1504217958913</v>
      </c>
    </row>
    <row r="57" spans="1:22">
      <c r="A57" s="39"/>
      <c r="B57" s="40"/>
      <c r="C57" s="229"/>
      <c r="D57" s="230"/>
      <c r="E57" s="229"/>
      <c r="F57" s="229"/>
      <c r="G57" s="235"/>
      <c r="H57" s="196"/>
      <c r="I57" s="196"/>
      <c r="J57" s="196"/>
      <c r="K57" s="196"/>
      <c r="L57" s="196"/>
      <c r="M57" s="196"/>
      <c r="N57" s="196"/>
      <c r="O57" s="196"/>
      <c r="P57" s="196"/>
      <c r="Q57" s="196"/>
      <c r="R57" s="196"/>
      <c r="S57" s="196"/>
      <c r="T57" s="196"/>
      <c r="U57" s="196"/>
      <c r="V57" s="196"/>
    </row>
    <row r="58" spans="1:22">
      <c r="A58" s="11">
        <v>13</v>
      </c>
      <c r="B58" s="38" t="s">
        <v>42</v>
      </c>
      <c r="C58" s="198">
        <f>C18</f>
        <v>17262113</v>
      </c>
      <c r="D58" s="198">
        <f>D18</f>
        <v>17335284</v>
      </c>
      <c r="E58" s="198">
        <f>E18</f>
        <v>18105849</v>
      </c>
      <c r="F58" s="198">
        <f>F18</f>
        <v>17751593.406969998</v>
      </c>
      <c r="G58" s="198">
        <f>G18</f>
        <v>18524978.271559998</v>
      </c>
      <c r="H58" s="198">
        <f>H18</f>
        <v>13736684.143999999</v>
      </c>
      <c r="I58" s="198">
        <f>I18</f>
        <v>12643513.814199999</v>
      </c>
      <c r="J58" s="198">
        <f>J18</f>
        <v>11348349.45019</v>
      </c>
      <c r="K58" s="198">
        <f>K18</f>
        <v>3669955</v>
      </c>
      <c r="L58" s="198">
        <f>L18</f>
        <v>2849643.07192</v>
      </c>
      <c r="M58" s="198">
        <f>M18</f>
        <v>2605787.6665599998</v>
      </c>
      <c r="N58" s="198">
        <f>N18</f>
        <v>2516288.1027699998</v>
      </c>
      <c r="O58" s="198">
        <f>O18</f>
        <v>2815215.3253499996</v>
      </c>
      <c r="P58" s="198">
        <f>P18</f>
        <v>3096111.27098</v>
      </c>
      <c r="Q58" s="198">
        <f>Q18</f>
        <v>2269181.5870000003</v>
      </c>
      <c r="R58" s="198">
        <f>R18</f>
        <v>4155743.5550700002</v>
      </c>
      <c r="S58" s="198">
        <f>S18</f>
        <v>689007.04148999997</v>
      </c>
      <c r="T58" s="198">
        <f>T18</f>
        <v>741280.33299999998</v>
      </c>
      <c r="U58" s="198">
        <f>U18</f>
        <v>0</v>
      </c>
      <c r="V58" s="198">
        <f>100*U58/$C58</f>
        <v>0</v>
      </c>
    </row>
    <row r="59" spans="1:22">
      <c r="A59" s="41"/>
      <c r="B59" s="42"/>
      <c r="C59" s="236"/>
      <c r="D59" s="237"/>
      <c r="E59" s="236"/>
      <c r="F59" s="236"/>
      <c r="G59" s="24"/>
      <c r="H59" s="196"/>
      <c r="I59" s="196"/>
      <c r="J59" s="196"/>
      <c r="K59" s="196"/>
      <c r="L59" s="196"/>
      <c r="M59" s="196"/>
      <c r="N59" s="196"/>
      <c r="O59" s="196"/>
      <c r="P59" s="196"/>
      <c r="Q59" s="196"/>
      <c r="R59" s="196"/>
      <c r="S59" s="196"/>
      <c r="T59" s="196"/>
      <c r="U59" s="196"/>
      <c r="V59" s="196"/>
    </row>
    <row r="60" spans="1:22">
      <c r="A60" s="43"/>
      <c r="B60" s="36"/>
      <c r="C60" s="232"/>
      <c r="D60" s="233"/>
      <c r="E60" s="232"/>
      <c r="F60" s="232"/>
      <c r="G60" s="238"/>
      <c r="H60" s="200"/>
      <c r="I60" s="234"/>
      <c r="J60" s="234"/>
      <c r="K60" s="234"/>
      <c r="L60" s="234"/>
      <c r="M60" s="234"/>
      <c r="N60" s="234"/>
      <c r="O60" s="234"/>
      <c r="P60" s="234"/>
      <c r="Q60" s="234"/>
      <c r="R60" s="234"/>
      <c r="S60" s="234"/>
      <c r="T60" s="234"/>
      <c r="U60" s="234"/>
      <c r="V60" s="234"/>
    </row>
    <row r="61" spans="1:22">
      <c r="A61" s="11">
        <v>2</v>
      </c>
      <c r="B61" s="38" t="s">
        <v>43</v>
      </c>
      <c r="C61" s="198">
        <f>C21</f>
        <v>79548957.332000002</v>
      </c>
      <c r="D61" s="198">
        <f>D21</f>
        <v>83878703</v>
      </c>
      <c r="E61" s="198">
        <f>E21</f>
        <v>87182070</v>
      </c>
      <c r="F61" s="198">
        <f>F21</f>
        <v>89455275.940679997</v>
      </c>
      <c r="G61" s="198">
        <f>G21</f>
        <v>92574021.322740003</v>
      </c>
      <c r="H61" s="198">
        <f>H21</f>
        <v>91897571.999699995</v>
      </c>
      <c r="I61" s="198">
        <f>I21</f>
        <v>89439753.805930004</v>
      </c>
      <c r="J61" s="198">
        <f>J21</f>
        <v>92881670.236279994</v>
      </c>
      <c r="K61" s="198">
        <f>K21</f>
        <v>83781204.058009997</v>
      </c>
      <c r="L61" s="198">
        <f>L21</f>
        <v>91310046.356000006</v>
      </c>
      <c r="M61" s="198">
        <f>M21</f>
        <v>92188367.791419998</v>
      </c>
      <c r="N61" s="198">
        <f>N21</f>
        <v>93865677.822190002</v>
      </c>
      <c r="O61" s="198">
        <f>O21</f>
        <v>101620893.46428001</v>
      </c>
      <c r="P61" s="198">
        <f>P21</f>
        <v>111262413.24665001</v>
      </c>
      <c r="Q61" s="198">
        <f>Q21</f>
        <v>112771800.99287</v>
      </c>
      <c r="R61" s="198">
        <f>R21</f>
        <v>114970820.01314001</v>
      </c>
      <c r="S61" s="198">
        <f>S21</f>
        <v>113237187.07161999</v>
      </c>
      <c r="T61" s="198">
        <f>T21</f>
        <v>120747154.51365</v>
      </c>
      <c r="U61" s="198">
        <f>U21</f>
        <v>126407878.82044001</v>
      </c>
      <c r="V61" s="198">
        <f>100*U61/$C61</f>
        <v>158.90576452545176</v>
      </c>
    </row>
    <row r="62" spans="1:22">
      <c r="A62" s="44"/>
      <c r="B62" s="45"/>
      <c r="C62" s="229"/>
      <c r="D62" s="230"/>
      <c r="E62" s="229"/>
      <c r="F62" s="229"/>
      <c r="G62" s="24"/>
      <c r="H62" s="196"/>
      <c r="I62" s="196"/>
      <c r="J62" s="196"/>
      <c r="K62" s="196"/>
      <c r="L62" s="196"/>
      <c r="M62" s="196"/>
      <c r="N62" s="196"/>
      <c r="O62" s="196"/>
      <c r="P62" s="196"/>
      <c r="Q62" s="196"/>
      <c r="R62" s="196"/>
      <c r="S62" s="196"/>
      <c r="T62" s="196"/>
      <c r="U62" s="196"/>
      <c r="V62" s="196"/>
    </row>
    <row r="63" spans="1:22">
      <c r="A63" s="46">
        <v>20</v>
      </c>
      <c r="B63" s="47" t="s">
        <v>44</v>
      </c>
      <c r="C63" s="198">
        <f>C23</f>
        <v>62927682</v>
      </c>
      <c r="D63" s="198">
        <f>D23</f>
        <v>68028160</v>
      </c>
      <c r="E63" s="198">
        <f>E23</f>
        <v>72694899</v>
      </c>
      <c r="F63" s="198">
        <f>F23</f>
        <v>76709798.565349996</v>
      </c>
      <c r="G63" s="198">
        <f>G23</f>
        <v>79584268.634089991</v>
      </c>
      <c r="H63" s="198">
        <f>H23</f>
        <v>73713638.304999992</v>
      </c>
      <c r="I63" s="198">
        <f>I23</f>
        <v>70255579.713750005</v>
      </c>
      <c r="J63" s="198">
        <f>J23</f>
        <v>69540447.376350001</v>
      </c>
      <c r="K63" s="198">
        <f>K23</f>
        <v>57254247</v>
      </c>
      <c r="L63" s="198">
        <f>L23</f>
        <v>56485062.558470003</v>
      </c>
      <c r="M63" s="198">
        <f>M23</f>
        <v>57075373.047570005</v>
      </c>
      <c r="N63" s="198">
        <f>N23</f>
        <v>56625382.482340001</v>
      </c>
      <c r="O63" s="198">
        <f>O23</f>
        <v>61716708.559030004</v>
      </c>
      <c r="P63" s="198">
        <f>P23</f>
        <v>69419336.580980003</v>
      </c>
      <c r="Q63" s="198">
        <f>Q23</f>
        <v>75304899.960319996</v>
      </c>
      <c r="R63" s="198">
        <f>R23</f>
        <v>76621912.654709995</v>
      </c>
      <c r="S63" s="198">
        <f>S23</f>
        <v>78266862.178739995</v>
      </c>
      <c r="T63" s="198">
        <f>T23</f>
        <v>79834145.600569993</v>
      </c>
      <c r="U63" s="198">
        <f>U23</f>
        <v>81798612.807260007</v>
      </c>
      <c r="V63" s="198">
        <f>100*U63/$C63</f>
        <v>129.9882821160646</v>
      </c>
    </row>
    <row r="64" spans="1:22">
      <c r="A64" s="48" t="s">
        <v>20</v>
      </c>
      <c r="B64" s="49" t="s">
        <v>58</v>
      </c>
      <c r="C64" s="231">
        <f>C24</f>
        <v>14565155</v>
      </c>
      <c r="D64" s="231">
        <f>D24</f>
        <v>19335322</v>
      </c>
      <c r="E64" s="231">
        <f>E24</f>
        <v>25193393</v>
      </c>
      <c r="F64" s="231">
        <f>F24</f>
        <v>25164311.159140006</v>
      </c>
      <c r="G64" s="231">
        <f>G24</f>
        <v>25581270.867550001</v>
      </c>
      <c r="H64" s="231">
        <f>H24</f>
        <v>21555518.752999999</v>
      </c>
      <c r="I64" s="231">
        <f>I24</f>
        <v>21180742.618280001</v>
      </c>
      <c r="J64" s="231">
        <f>J24</f>
        <v>24437597.014699999</v>
      </c>
      <c r="K64" s="231">
        <f>K24</f>
        <v>18052253</v>
      </c>
      <c r="L64" s="231">
        <f>L24</f>
        <v>19698258.376740001</v>
      </c>
      <c r="M64" s="231">
        <f>M24</f>
        <v>19288064.359990001</v>
      </c>
      <c r="N64" s="231">
        <f>N24</f>
        <v>19973079.828810003</v>
      </c>
      <c r="O64" s="231">
        <f>O24</f>
        <v>22242997.012600005</v>
      </c>
      <c r="P64" s="231">
        <f>P24</f>
        <v>26201616.89556</v>
      </c>
      <c r="Q64" s="231">
        <f>Q24</f>
        <v>27433534.55517</v>
      </c>
      <c r="R64" s="231">
        <f>R24</f>
        <v>26479071.531140003</v>
      </c>
      <c r="S64" s="231">
        <f>S24</f>
        <v>28236224.686219998</v>
      </c>
      <c r="T64" s="231">
        <f>T24</f>
        <v>28332110.213449996</v>
      </c>
      <c r="U64" s="231">
        <f>U24</f>
        <v>29484041.445080005</v>
      </c>
      <c r="V64" s="231">
        <f>100*U64/$C64</f>
        <v>202.42861435446449</v>
      </c>
    </row>
    <row r="65" spans="1:22">
      <c r="A65" s="50">
        <v>202</v>
      </c>
      <c r="B65" s="51" t="s">
        <v>76</v>
      </c>
      <c r="C65" s="231">
        <f>C25</f>
        <v>44607924</v>
      </c>
      <c r="D65" s="231">
        <f>D25</f>
        <v>44662489</v>
      </c>
      <c r="E65" s="231">
        <f>E25</f>
        <v>43389161</v>
      </c>
      <c r="F65" s="231">
        <f>F25</f>
        <v>47700552.846649997</v>
      </c>
      <c r="G65" s="231">
        <f>G25</f>
        <v>50210792.858999997</v>
      </c>
      <c r="H65" s="231">
        <f>H25</f>
        <v>48681901</v>
      </c>
      <c r="I65" s="231">
        <f>I25</f>
        <v>45244049</v>
      </c>
      <c r="J65" s="231">
        <f>J25</f>
        <v>41149755.848300003</v>
      </c>
      <c r="K65" s="231">
        <f>K25</f>
        <v>35008839</v>
      </c>
      <c r="L65" s="231">
        <f>L25</f>
        <v>30926072.09513</v>
      </c>
      <c r="M65" s="231">
        <f>M25</f>
        <v>31483242.949760001</v>
      </c>
      <c r="N65" s="231">
        <f>N25</f>
        <v>29981198.961690001</v>
      </c>
      <c r="O65" s="231">
        <f>O25</f>
        <v>31505512.896780003</v>
      </c>
      <c r="P65" s="231">
        <f>P25</f>
        <v>34960361.336390004</v>
      </c>
      <c r="Q65" s="231">
        <f>Q25</f>
        <v>39775664.024179995</v>
      </c>
      <c r="R65" s="231">
        <f>R25</f>
        <v>41910325.926870003</v>
      </c>
      <c r="S65" s="231">
        <f>S25</f>
        <v>41251809.796020001</v>
      </c>
      <c r="T65" s="231">
        <f>T25</f>
        <v>42181625.568419993</v>
      </c>
      <c r="U65" s="231">
        <f>U25</f>
        <v>41249527.862539999</v>
      </c>
      <c r="V65" s="231">
        <f>100*U65/$C65</f>
        <v>92.471301427387644</v>
      </c>
    </row>
    <row r="66" spans="1:22">
      <c r="A66" s="50">
        <v>205</v>
      </c>
      <c r="B66" s="52" t="s">
        <v>60</v>
      </c>
      <c r="C66" s="231">
        <f>C26</f>
        <v>3754603</v>
      </c>
      <c r="D66" s="231">
        <f>D26</f>
        <v>4030349</v>
      </c>
      <c r="E66" s="231">
        <f>E26</f>
        <v>4112345</v>
      </c>
      <c r="F66" s="231">
        <f>F26</f>
        <v>3844934.55956</v>
      </c>
      <c r="G66" s="231">
        <f>G26</f>
        <v>3792204.90754</v>
      </c>
      <c r="H66" s="231">
        <f>H26</f>
        <v>3476218.5520000001</v>
      </c>
      <c r="I66" s="231">
        <f>I26</f>
        <v>3830788.0954700001</v>
      </c>
      <c r="J66" s="231">
        <f>J26</f>
        <v>3953094.5133500001</v>
      </c>
      <c r="K66" s="231">
        <f>K26</f>
        <v>4193155</v>
      </c>
      <c r="L66" s="231">
        <f>L26</f>
        <v>5860732.0866</v>
      </c>
      <c r="M66" s="231">
        <f>M26</f>
        <v>6304065.7378199995</v>
      </c>
      <c r="N66" s="231">
        <f>N26</f>
        <v>6671103.6918400005</v>
      </c>
      <c r="O66" s="231">
        <f>O26</f>
        <v>7968198.649650001</v>
      </c>
      <c r="P66" s="231">
        <f>P26</f>
        <v>8257358.3490300002</v>
      </c>
      <c r="Q66" s="231">
        <f>Q26</f>
        <v>8095701.3809699994</v>
      </c>
      <c r="R66" s="231">
        <f>R26</f>
        <v>8232515.1966999993</v>
      </c>
      <c r="S66" s="231">
        <f>S26</f>
        <v>8778827.6964999996</v>
      </c>
      <c r="T66" s="231">
        <f>T26</f>
        <v>9320409.8187000006</v>
      </c>
      <c r="U66" s="231">
        <f>U26</f>
        <v>11065043.499639999</v>
      </c>
      <c r="V66" s="231">
        <f>100*U66/$C66</f>
        <v>294.70608476155803</v>
      </c>
    </row>
    <row r="67" spans="1:22">
      <c r="A67" s="35"/>
      <c r="B67" s="36"/>
      <c r="C67" s="232"/>
      <c r="D67" s="233"/>
      <c r="E67" s="232"/>
      <c r="F67" s="232"/>
      <c r="G67" s="238"/>
      <c r="H67" s="200"/>
      <c r="I67" s="234"/>
      <c r="J67" s="234"/>
      <c r="K67" s="234"/>
      <c r="L67" s="234"/>
      <c r="M67" s="234"/>
      <c r="N67" s="234"/>
      <c r="O67" s="234"/>
      <c r="P67" s="234"/>
      <c r="Q67" s="234"/>
      <c r="R67" s="234"/>
      <c r="S67" s="234"/>
      <c r="T67" s="234"/>
      <c r="U67" s="234"/>
      <c r="V67" s="234"/>
    </row>
    <row r="68" spans="1:22">
      <c r="A68" s="11">
        <v>23</v>
      </c>
      <c r="B68" s="38" t="s">
        <v>48</v>
      </c>
      <c r="C68" s="198">
        <f>C28</f>
        <v>4380052</v>
      </c>
      <c r="D68" s="198">
        <f>D28</f>
        <v>3221368</v>
      </c>
      <c r="E68" s="198">
        <f>E28</f>
        <v>2633746</v>
      </c>
      <c r="F68" s="198">
        <f>F28</f>
        <v>2936705.1940000001</v>
      </c>
      <c r="G68" s="198">
        <f>G28</f>
        <v>2735089.014</v>
      </c>
      <c r="H68" s="198">
        <f>H28</f>
        <v>2170589</v>
      </c>
      <c r="I68" s="198">
        <f>I28</f>
        <v>2239774</v>
      </c>
      <c r="J68" s="198">
        <f>J28</f>
        <v>2541527.5267499997</v>
      </c>
      <c r="K68" s="198">
        <f>K28</f>
        <v>2627226</v>
      </c>
      <c r="L68" s="198">
        <f>L28</f>
        <v>1914436.4276099999</v>
      </c>
      <c r="M68" s="198">
        <f>M28</f>
        <v>1328887.1078699999</v>
      </c>
      <c r="N68" s="198">
        <f>N28</f>
        <v>963525.77706999995</v>
      </c>
      <c r="O68" s="198">
        <f>O28</f>
        <v>516564.03376000002</v>
      </c>
      <c r="P68" s="198">
        <f>P28</f>
        <v>498198.37747000006</v>
      </c>
      <c r="Q68" s="198">
        <f>Q28</f>
        <v>63580.032579999999</v>
      </c>
      <c r="R68" s="198">
        <f>R28</f>
        <v>44547.192880000002</v>
      </c>
      <c r="S68" s="198">
        <f>S28</f>
        <v>21705.77708</v>
      </c>
      <c r="T68" s="198">
        <f>T28</f>
        <v>24213.769639999999</v>
      </c>
      <c r="U68" s="198">
        <f>U28</f>
        <v>0</v>
      </c>
      <c r="V68" s="198">
        <f>100*U68/$C68</f>
        <v>0</v>
      </c>
    </row>
    <row r="69" spans="1:22">
      <c r="A69" s="53"/>
      <c r="B69" s="40"/>
      <c r="C69" s="229"/>
      <c r="D69" s="230"/>
      <c r="E69" s="229"/>
      <c r="F69" s="229"/>
      <c r="G69" s="213"/>
      <c r="H69" s="196"/>
      <c r="I69" s="196"/>
      <c r="J69" s="196"/>
      <c r="K69" s="196"/>
      <c r="L69" s="196"/>
      <c r="M69" s="196"/>
      <c r="N69" s="196"/>
      <c r="O69" s="196"/>
      <c r="P69" s="196"/>
      <c r="Q69" s="196"/>
      <c r="R69" s="196"/>
      <c r="S69" s="196"/>
      <c r="T69" s="196"/>
      <c r="U69" s="196"/>
      <c r="V69" s="196"/>
    </row>
    <row r="70" spans="1:22">
      <c r="A70" s="11">
        <v>24</v>
      </c>
      <c r="B70" s="38" t="s">
        <v>49</v>
      </c>
      <c r="C70" s="198">
        <f>C30</f>
        <v>5962393</v>
      </c>
      <c r="D70" s="198">
        <f>D30</f>
        <v>5904283</v>
      </c>
      <c r="E70" s="198">
        <f>E30</f>
        <v>5190590</v>
      </c>
      <c r="F70" s="198">
        <f>F30</f>
        <v>4134533.6023799996</v>
      </c>
      <c r="G70" s="198">
        <f>G30</f>
        <v>3757092.5604300001</v>
      </c>
      <c r="H70" s="198">
        <f>H30</f>
        <v>3758808.7880000002</v>
      </c>
      <c r="I70" s="198">
        <f>I30</f>
        <v>3643464</v>
      </c>
      <c r="J70" s="198">
        <f>J30</f>
        <v>5404778.5741100004</v>
      </c>
      <c r="K70" s="198">
        <f>K30</f>
        <v>4002377</v>
      </c>
      <c r="L70" s="198">
        <f>L30</f>
        <v>5361434.1703699995</v>
      </c>
      <c r="M70" s="198">
        <f>M30</f>
        <v>4973549.3847599998</v>
      </c>
      <c r="N70" s="198">
        <f>N30</f>
        <v>7476291.8140900005</v>
      </c>
      <c r="O70" s="198">
        <f>O30</f>
        <v>8673628.1440199986</v>
      </c>
      <c r="P70" s="198">
        <f>P30</f>
        <v>5738556.8407699997</v>
      </c>
      <c r="Q70" s="198">
        <f>Q30</f>
        <v>5183136.8361699991</v>
      </c>
      <c r="R70" s="198">
        <f>R30</f>
        <v>5545155.5282699997</v>
      </c>
      <c r="S70" s="198">
        <f>S30</f>
        <v>5836048.0474499986</v>
      </c>
      <c r="T70" s="198">
        <f>T30</f>
        <v>5916869.0751299998</v>
      </c>
      <c r="U70" s="198">
        <f>U30</f>
        <v>6899353.5217500003</v>
      </c>
      <c r="V70" s="198">
        <f>100*U70/$C70</f>
        <v>115.71450459152895</v>
      </c>
    </row>
    <row r="71" spans="1:22">
      <c r="A71" s="44"/>
      <c r="B71" s="45"/>
      <c r="C71" s="231"/>
      <c r="D71" s="230"/>
      <c r="E71" s="229"/>
      <c r="F71" s="229"/>
      <c r="G71" s="198"/>
      <c r="H71" s="196"/>
      <c r="I71" s="196"/>
      <c r="J71" s="196"/>
      <c r="K71" s="196"/>
      <c r="L71" s="196"/>
      <c r="M71" s="196"/>
      <c r="N71" s="196"/>
      <c r="O71" s="18"/>
      <c r="P71" s="18"/>
      <c r="Q71" s="18"/>
      <c r="R71" s="18"/>
      <c r="S71" s="18"/>
      <c r="T71" s="18"/>
      <c r="U71" s="18"/>
      <c r="V71" s="18"/>
    </row>
    <row r="72" spans="1:22">
      <c r="A72" s="54">
        <v>28</v>
      </c>
      <c r="B72" s="47" t="s">
        <v>54</v>
      </c>
      <c r="C72" s="198">
        <f>C32</f>
        <v>2196331</v>
      </c>
      <c r="D72" s="198">
        <f>D32</f>
        <v>2376664</v>
      </c>
      <c r="E72" s="198">
        <f>E32</f>
        <v>2416286</v>
      </c>
      <c r="F72" s="198">
        <f>F32</f>
        <v>2499628.3559500002</v>
      </c>
      <c r="G72" s="198">
        <f>G32</f>
        <v>2711944.2212199997</v>
      </c>
      <c r="H72" s="198">
        <f>H32</f>
        <v>3265839.1730200001</v>
      </c>
      <c r="I72" s="198">
        <f>I32</f>
        <v>3560218.0921800002</v>
      </c>
      <c r="J72" s="198">
        <f>J32</f>
        <v>4216302.0500000007</v>
      </c>
      <c r="K72" s="198">
        <f>K32</f>
        <v>4774330.0580099998</v>
      </c>
      <c r="L72" s="198">
        <f>L32</f>
        <v>4222580.4877800001</v>
      </c>
      <c r="M72" s="198">
        <f>M32</f>
        <v>4324674.8519700002</v>
      </c>
      <c r="N72" s="198">
        <f>N32</f>
        <v>4597459.9225399997</v>
      </c>
      <c r="O72" s="198">
        <f>O32</f>
        <v>4454499.6124299988</v>
      </c>
      <c r="P72" s="198">
        <f>P32</f>
        <v>4383193.1892399993</v>
      </c>
      <c r="Q72" s="198">
        <f>Q32</f>
        <v>3428046.51297</v>
      </c>
      <c r="R72" s="198">
        <f>R32</f>
        <v>3757527.9833799996</v>
      </c>
      <c r="S72" s="198">
        <f>S32</f>
        <v>2881910.6348599996</v>
      </c>
      <c r="T72" s="198">
        <f>T32</f>
        <v>3392086.2583000003</v>
      </c>
      <c r="U72" s="198">
        <f>U32</f>
        <v>2311399.5891100005</v>
      </c>
      <c r="V72" s="198">
        <f>100*U72/$C72</f>
        <v>105.23912785049249</v>
      </c>
    </row>
    <row r="73" spans="1:22">
      <c r="A73" s="53"/>
      <c r="B73" s="40"/>
      <c r="C73" s="229"/>
      <c r="D73" s="230"/>
      <c r="E73" s="229"/>
      <c r="F73" s="229"/>
      <c r="G73" s="198"/>
      <c r="H73" s="196"/>
      <c r="I73" s="196"/>
      <c r="J73" s="196"/>
      <c r="K73" s="196"/>
      <c r="L73" s="196"/>
      <c r="M73" s="196"/>
      <c r="N73" s="196"/>
      <c r="O73" s="196"/>
      <c r="P73" s="196"/>
      <c r="Q73" s="196"/>
      <c r="R73" s="196"/>
      <c r="S73" s="196"/>
      <c r="T73" s="196"/>
      <c r="U73" s="196"/>
      <c r="V73" s="196"/>
    </row>
    <row r="74" spans="1:22">
      <c r="A74" s="11">
        <v>29</v>
      </c>
      <c r="B74" s="38" t="s">
        <v>77</v>
      </c>
      <c r="C74" s="198">
        <f>C34</f>
        <v>4082499.3320000004</v>
      </c>
      <c r="D74" s="198">
        <f>D34</f>
        <v>4348228</v>
      </c>
      <c r="E74" s="198">
        <f>E34</f>
        <v>4246549</v>
      </c>
      <c r="F74" s="198">
        <f>F34</f>
        <v>3174610.2230000002</v>
      </c>
      <c r="G74" s="198">
        <f>G34</f>
        <v>3785626.8930000002</v>
      </c>
      <c r="H74" s="198">
        <f>H34</f>
        <v>8988696.7336799987</v>
      </c>
      <c r="I74" s="198">
        <f>I34</f>
        <v>9740718</v>
      </c>
      <c r="J74" s="198">
        <f>J34</f>
        <v>11178614.709070001</v>
      </c>
      <c r="K74" s="198">
        <f>K34</f>
        <v>15123024</v>
      </c>
      <c r="L74" s="198">
        <f>L34</f>
        <v>23326532.711769998</v>
      </c>
      <c r="M74" s="198">
        <f>M34</f>
        <v>24485883.399250001</v>
      </c>
      <c r="N74" s="198">
        <f>N34</f>
        <v>24203017.82615</v>
      </c>
      <c r="O74" s="198">
        <f>O34</f>
        <v>26259493.115040004</v>
      </c>
      <c r="P74" s="198">
        <f>P34</f>
        <v>31223128.258189999</v>
      </c>
      <c r="Q74" s="198">
        <f>Q34</f>
        <v>28792137.650830001</v>
      </c>
      <c r="R74" s="198">
        <f>R34</f>
        <v>29001676.653900001</v>
      </c>
      <c r="S74" s="198">
        <f>S34</f>
        <v>26230660.433490001</v>
      </c>
      <c r="T74" s="198">
        <f>T34</f>
        <v>31579839.810010009</v>
      </c>
      <c r="U74" s="198">
        <f>U34</f>
        <v>35398512.902319998</v>
      </c>
      <c r="V74" s="198">
        <f>100*U74/$C74</f>
        <v>867.07945362916712</v>
      </c>
    </row>
    <row r="75" spans="1:22">
      <c r="A75" s="289" t="s">
        <v>7</v>
      </c>
      <c r="B75" s="42" t="s">
        <v>101</v>
      </c>
    </row>
    <row r="76" spans="1:22">
      <c r="A76" s="290" t="s">
        <v>14</v>
      </c>
      <c r="B76" s="89" t="s">
        <v>100</v>
      </c>
    </row>
    <row r="77" spans="1:22">
      <c r="B77" s="89"/>
    </row>
  </sheetData>
  <phoneticPr fontId="10" type="noConversion"/>
  <pageMargins left="0.78740157480314965" right="0.55118110236220474" top="0.98425196850393704" bottom="0.98425196850393704" header="0.51181102362204722" footer="0.51181102362204722"/>
  <pageSetup paperSize="8" scale="64"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enableFormatConditionsCalculation="0">
    <tabColor rgb="FF00B050"/>
  </sheetPr>
  <dimension ref="A1:U40"/>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4" width="11.42578125" style="2"/>
    <col min="15" max="15" width="16.5703125" style="2" bestFit="1" customWidth="1"/>
    <col min="16"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218">
        <v>2007</v>
      </c>
      <c r="K1" s="218">
        <v>2008</v>
      </c>
      <c r="L1" s="194">
        <v>2009</v>
      </c>
      <c r="M1" s="194">
        <v>2010</v>
      </c>
      <c r="N1" s="194">
        <v>2011</v>
      </c>
      <c r="O1" s="194">
        <v>2012</v>
      </c>
      <c r="P1" s="194">
        <v>2013</v>
      </c>
      <c r="Q1" s="344">
        <v>2014</v>
      </c>
      <c r="R1" s="344">
        <v>2015</v>
      </c>
      <c r="S1" s="344">
        <v>2016</v>
      </c>
      <c r="T1" s="344">
        <v>2017</v>
      </c>
      <c r="U1" s="344">
        <v>2018</v>
      </c>
    </row>
    <row r="2" spans="1:21">
      <c r="A2" s="7" t="s">
        <v>3</v>
      </c>
      <c r="B2" s="8" t="s">
        <v>79</v>
      </c>
      <c r="C2" s="79"/>
      <c r="D2" s="79"/>
      <c r="E2" s="79"/>
      <c r="F2" s="79"/>
      <c r="G2" s="79"/>
      <c r="H2" s="79"/>
      <c r="I2" s="79"/>
      <c r="J2" s="211"/>
      <c r="K2" s="211"/>
      <c r="L2" s="6"/>
      <c r="M2" s="349" t="s">
        <v>103</v>
      </c>
      <c r="N2" s="349" t="s">
        <v>103</v>
      </c>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212" t="s">
        <v>4</v>
      </c>
      <c r="K3" s="212"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I4" si="0">C6+C11+C16+C18</f>
        <v>2275955</v>
      </c>
      <c r="D4" s="87">
        <f t="shared" si="0"/>
        <v>2298227</v>
      </c>
      <c r="E4" s="87">
        <f t="shared" si="0"/>
        <v>2441641</v>
      </c>
      <c r="F4" s="87">
        <f t="shared" si="0"/>
        <v>2489064</v>
      </c>
      <c r="G4" s="87">
        <f t="shared" si="0"/>
        <v>2127462</v>
      </c>
      <c r="H4" s="87">
        <f t="shared" si="0"/>
        <v>3896495</v>
      </c>
      <c r="I4" s="13">
        <f t="shared" si="0"/>
        <v>2890881</v>
      </c>
      <c r="J4" s="198">
        <f t="shared" ref="J4:O4" si="1">J6+J11+J16+J18</f>
        <v>3032283.247</v>
      </c>
      <c r="K4" s="198">
        <f t="shared" si="1"/>
        <v>3209159</v>
      </c>
      <c r="L4" s="198">
        <f t="shared" si="1"/>
        <v>3071450</v>
      </c>
      <c r="M4" s="198">
        <f t="shared" si="1"/>
        <v>2675839.9</v>
      </c>
      <c r="N4" s="198">
        <f t="shared" si="1"/>
        <v>3588771.4628900001</v>
      </c>
      <c r="O4" s="198">
        <f t="shared" si="1"/>
        <v>3186600</v>
      </c>
      <c r="P4" s="198">
        <f t="shared" ref="P4:Q4" si="2">P6+P11+P16+P18</f>
        <v>3759750</v>
      </c>
      <c r="Q4" s="13">
        <f t="shared" si="2"/>
        <v>3945664.5000000005</v>
      </c>
      <c r="R4" s="13">
        <f t="shared" ref="R4" si="3">R6+R11+R16+R18</f>
        <v>4031154.4000000004</v>
      </c>
      <c r="S4" s="348">
        <f t="shared" ref="S4:T4" si="4">S6+S11+S16+S18</f>
        <v>4388774.7</v>
      </c>
      <c r="T4" s="348">
        <f t="shared" si="4"/>
        <v>4851721.9000000004</v>
      </c>
      <c r="U4" s="348">
        <f t="shared" ref="U4" si="5">U6+U11+U16+U18</f>
        <v>4793054</v>
      </c>
    </row>
    <row r="5" spans="1:21">
      <c r="A5" s="14"/>
      <c r="B5" s="15"/>
      <c r="C5" s="16"/>
      <c r="D5" s="17"/>
      <c r="E5" s="16"/>
      <c r="F5" s="16"/>
      <c r="G5" s="149"/>
      <c r="H5" s="18"/>
      <c r="I5" s="18"/>
      <c r="J5" s="196"/>
      <c r="K5" s="196"/>
      <c r="L5" s="196"/>
      <c r="M5" s="196"/>
      <c r="N5" s="196"/>
      <c r="O5" s="196"/>
      <c r="P5" s="196"/>
      <c r="Q5" s="18"/>
      <c r="R5" s="18"/>
      <c r="S5" s="298"/>
      <c r="T5" s="298"/>
      <c r="U5" s="298"/>
    </row>
    <row r="6" spans="1:21">
      <c r="A6" s="19">
        <v>10</v>
      </c>
      <c r="B6" s="12" t="s">
        <v>6</v>
      </c>
      <c r="C6" s="13">
        <f t="shared" ref="C6:H6" si="6">C7+C8+C9</f>
        <v>855034</v>
      </c>
      <c r="D6" s="13">
        <f t="shared" si="6"/>
        <v>929165</v>
      </c>
      <c r="E6" s="13">
        <f t="shared" si="6"/>
        <v>1099260</v>
      </c>
      <c r="F6" s="13">
        <f t="shared" si="6"/>
        <v>1129326</v>
      </c>
      <c r="G6" s="13">
        <f t="shared" si="6"/>
        <v>735900</v>
      </c>
      <c r="H6" s="13">
        <f t="shared" si="6"/>
        <v>2720663</v>
      </c>
      <c r="I6" s="13">
        <f t="shared" ref="I6:N6" si="7">I7+I8+I9</f>
        <v>1742260</v>
      </c>
      <c r="J6" s="198">
        <f t="shared" si="7"/>
        <v>1874969.3319999999</v>
      </c>
      <c r="K6" s="198">
        <f t="shared" si="7"/>
        <v>2116041</v>
      </c>
      <c r="L6" s="198">
        <f t="shared" si="7"/>
        <v>1953999</v>
      </c>
      <c r="M6" s="198">
        <f t="shared" si="7"/>
        <v>1478521</v>
      </c>
      <c r="N6" s="198">
        <f t="shared" si="7"/>
        <v>1890360.36289</v>
      </c>
      <c r="O6" s="198">
        <f t="shared" ref="O6:T6" si="8">O7+O8+O9</f>
        <v>1340600</v>
      </c>
      <c r="P6" s="198">
        <f t="shared" si="8"/>
        <v>1749414.9999999998</v>
      </c>
      <c r="Q6" s="13">
        <f t="shared" si="8"/>
        <v>1831418.7000000002</v>
      </c>
      <c r="R6" s="13">
        <f t="shared" si="8"/>
        <v>1821195.9000000001</v>
      </c>
      <c r="S6" s="348">
        <f t="shared" si="8"/>
        <v>1992721.6</v>
      </c>
      <c r="T6" s="348">
        <f t="shared" si="8"/>
        <v>2441305</v>
      </c>
      <c r="U6" s="348">
        <f t="shared" ref="U6" si="9">U7+U8+U9</f>
        <v>2268146.7999999998</v>
      </c>
    </row>
    <row r="7" spans="1:21">
      <c r="A7" s="20" t="s">
        <v>7</v>
      </c>
      <c r="B7" s="21" t="s">
        <v>8</v>
      </c>
      <c r="C7" s="164">
        <v>539685</v>
      </c>
      <c r="D7" s="164">
        <v>561683</v>
      </c>
      <c r="E7" s="164">
        <v>599863</v>
      </c>
      <c r="F7" s="164">
        <f>47887+780974</f>
        <v>828861</v>
      </c>
      <c r="G7" s="164">
        <f>37210+390693</f>
        <v>427903</v>
      </c>
      <c r="H7" s="164">
        <f>97017+2002594</f>
        <v>2099611</v>
      </c>
      <c r="I7" s="164">
        <f>68611+925772</f>
        <v>994383</v>
      </c>
      <c r="J7" s="196">
        <f>190958.183+914770.923</f>
        <v>1105729.1059999999</v>
      </c>
      <c r="K7" s="196">
        <f>472535+1002825</f>
        <v>1475360</v>
      </c>
      <c r="L7" s="196">
        <f>388402+958792</f>
        <v>1347194</v>
      </c>
      <c r="M7" s="196">
        <f>451609.4+394857.4</f>
        <v>846466.8</v>
      </c>
      <c r="N7" s="298">
        <v>1252114.66289</v>
      </c>
      <c r="O7" s="298">
        <v>664000</v>
      </c>
      <c r="P7" s="298">
        <v>900228.2</v>
      </c>
      <c r="Q7" s="302">
        <v>905560.2</v>
      </c>
      <c r="R7" s="302">
        <v>801491.7</v>
      </c>
      <c r="S7" s="298">
        <v>1085807.6000000001</v>
      </c>
      <c r="T7" s="298">
        <v>1501109.2</v>
      </c>
      <c r="U7" s="298">
        <v>1360063.2</v>
      </c>
    </row>
    <row r="8" spans="1:21">
      <c r="A8" s="25">
        <v>102</v>
      </c>
      <c r="B8" s="26" t="s">
        <v>9</v>
      </c>
      <c r="C8" s="164">
        <v>141467</v>
      </c>
      <c r="D8" s="164">
        <v>132486</v>
      </c>
      <c r="E8" s="164">
        <v>159288</v>
      </c>
      <c r="F8" s="164">
        <v>140322</v>
      </c>
      <c r="G8" s="164">
        <v>132585</v>
      </c>
      <c r="H8" s="164">
        <v>351073</v>
      </c>
      <c r="I8" s="164">
        <v>364951</v>
      </c>
      <c r="J8" s="199">
        <v>363788.60600000003</v>
      </c>
      <c r="K8" s="199">
        <v>318587</v>
      </c>
      <c r="L8" s="199">
        <v>300802</v>
      </c>
      <c r="M8" s="199">
        <f>0+14463.6+135269.2+115103.9</f>
        <v>264836.7</v>
      </c>
      <c r="N8" s="300">
        <f>12936.6+116378.7+99409</f>
        <v>228724.3</v>
      </c>
      <c r="O8" s="300">
        <v>222600</v>
      </c>
      <c r="P8" s="300">
        <v>413028.1</v>
      </c>
      <c r="Q8" s="302">
        <v>411366.40000000002</v>
      </c>
      <c r="R8" s="302">
        <v>556826.9</v>
      </c>
      <c r="S8" s="300">
        <v>455502.30000000005</v>
      </c>
      <c r="T8" s="300">
        <v>428911.10000000003</v>
      </c>
      <c r="U8" s="300">
        <v>422498.10000000003</v>
      </c>
    </row>
    <row r="9" spans="1:21">
      <c r="A9" s="25">
        <v>103</v>
      </c>
      <c r="B9" s="26" t="s">
        <v>10</v>
      </c>
      <c r="C9" s="164">
        <v>173882</v>
      </c>
      <c r="D9" s="164">
        <f>913496-678500</f>
        <v>234996</v>
      </c>
      <c r="E9" s="164">
        <f>1253109-913000</f>
        <v>340109</v>
      </c>
      <c r="F9" s="164">
        <f>1203643-1043500</f>
        <v>160143</v>
      </c>
      <c r="G9" s="164">
        <f>1276312-1100900</f>
        <v>175412</v>
      </c>
      <c r="H9" s="164">
        <v>269979</v>
      </c>
      <c r="I9" s="164">
        <v>382926</v>
      </c>
      <c r="J9" s="219">
        <v>405451.62</v>
      </c>
      <c r="K9" s="219">
        <v>322094</v>
      </c>
      <c r="L9" s="196">
        <v>306003</v>
      </c>
      <c r="M9" s="196">
        <v>367217.5</v>
      </c>
      <c r="N9" s="298">
        <v>409521.4</v>
      </c>
      <c r="O9" s="298">
        <v>454000</v>
      </c>
      <c r="P9" s="298">
        <v>436158.7</v>
      </c>
      <c r="Q9" s="302">
        <v>514492.1</v>
      </c>
      <c r="R9" s="302">
        <v>462877.3</v>
      </c>
      <c r="S9" s="298">
        <v>451411.7</v>
      </c>
      <c r="T9" s="298">
        <v>511284.7</v>
      </c>
      <c r="U9" s="298">
        <v>485585.5</v>
      </c>
    </row>
    <row r="10" spans="1:21">
      <c r="A10" s="28"/>
      <c r="B10" s="29"/>
      <c r="C10" s="30"/>
      <c r="D10" s="31"/>
      <c r="E10" s="30"/>
      <c r="F10" s="30"/>
      <c r="G10" s="149"/>
      <c r="H10" s="18"/>
      <c r="I10" s="18"/>
      <c r="J10" s="196"/>
      <c r="K10" s="196"/>
      <c r="L10" s="196"/>
      <c r="M10" s="196"/>
      <c r="N10" s="196"/>
      <c r="O10" s="196"/>
      <c r="P10" s="196"/>
      <c r="Q10" s="18"/>
      <c r="R10" s="18"/>
      <c r="S10" s="298"/>
      <c r="T10" s="298"/>
      <c r="U10" s="298"/>
    </row>
    <row r="11" spans="1:21">
      <c r="A11" s="19">
        <v>11</v>
      </c>
      <c r="B11" s="12" t="s">
        <v>11</v>
      </c>
      <c r="C11" s="13">
        <f t="shared" ref="C11:H11" si="10">C12+C13+C14</f>
        <v>1420921</v>
      </c>
      <c r="D11" s="13">
        <f t="shared" si="10"/>
        <v>1369062</v>
      </c>
      <c r="E11" s="13">
        <f t="shared" si="10"/>
        <v>1342381</v>
      </c>
      <c r="F11" s="13">
        <f t="shared" si="10"/>
        <v>1359738</v>
      </c>
      <c r="G11" s="13">
        <f t="shared" si="10"/>
        <v>1391562</v>
      </c>
      <c r="H11" s="13">
        <f t="shared" si="10"/>
        <v>1175832</v>
      </c>
      <c r="I11" s="13">
        <f t="shared" ref="I11:N11" si="11">I12+I13+I14</f>
        <v>1148621</v>
      </c>
      <c r="J11" s="198">
        <f t="shared" si="11"/>
        <v>1157313.915</v>
      </c>
      <c r="K11" s="198">
        <f t="shared" si="11"/>
        <v>1093118</v>
      </c>
      <c r="L11" s="198">
        <f t="shared" si="11"/>
        <v>1117451</v>
      </c>
      <c r="M11" s="198">
        <f t="shared" si="11"/>
        <v>1197318.8999999999</v>
      </c>
      <c r="N11" s="198">
        <f t="shared" si="11"/>
        <v>1698411.1</v>
      </c>
      <c r="O11" s="198">
        <f>O12+O13+O14</f>
        <v>1846000</v>
      </c>
      <c r="P11" s="198">
        <f>P12+P13+P14</f>
        <v>2010335</v>
      </c>
      <c r="Q11" s="13">
        <f t="shared" ref="Q11" si="12">Q12+Q13+Q14</f>
        <v>2114245.8000000003</v>
      </c>
      <c r="R11" s="13">
        <f t="shared" ref="R11" si="13">R12+R13+R14</f>
        <v>2209958.5</v>
      </c>
      <c r="S11" s="348">
        <f t="shared" ref="S11:T11" si="14">S12+S13+S14</f>
        <v>2396053.1</v>
      </c>
      <c r="T11" s="348">
        <f t="shared" si="14"/>
        <v>2410416.9</v>
      </c>
      <c r="U11" s="348">
        <f t="shared" ref="U11" si="15">U12+U13+U14</f>
        <v>2524907.2000000002</v>
      </c>
    </row>
    <row r="12" spans="1:21">
      <c r="A12" s="32">
        <v>114</v>
      </c>
      <c r="B12" s="21" t="s">
        <v>12</v>
      </c>
      <c r="C12" s="164">
        <v>1007521</v>
      </c>
      <c r="D12" s="164">
        <v>1008503</v>
      </c>
      <c r="E12" s="164">
        <v>966779</v>
      </c>
      <c r="F12" s="164">
        <v>985219</v>
      </c>
      <c r="G12" s="164">
        <v>1019694</v>
      </c>
      <c r="H12" s="164">
        <v>1015832</v>
      </c>
      <c r="I12" s="164">
        <v>988621</v>
      </c>
      <c r="J12" s="196">
        <v>997313.88</v>
      </c>
      <c r="K12" s="196">
        <v>933118</v>
      </c>
      <c r="L12" s="196">
        <v>957451</v>
      </c>
      <c r="M12" s="196">
        <v>996648.9</v>
      </c>
      <c r="N12" s="298">
        <v>1493360.6</v>
      </c>
      <c r="O12" s="298">
        <v>1334090</v>
      </c>
      <c r="P12" s="298">
        <v>1405294.9</v>
      </c>
      <c r="Q12" s="302">
        <v>1437268.5</v>
      </c>
      <c r="R12" s="302">
        <v>1491338.4</v>
      </c>
      <c r="S12" s="298">
        <v>1596759.8</v>
      </c>
      <c r="T12" s="298">
        <v>1570964.8</v>
      </c>
      <c r="U12" s="298">
        <v>1684231.6</v>
      </c>
    </row>
    <row r="13" spans="1:21">
      <c r="A13" s="25">
        <v>115</v>
      </c>
      <c r="B13" s="26" t="s">
        <v>13</v>
      </c>
      <c r="C13" s="164">
        <v>271944</v>
      </c>
      <c r="D13" s="164">
        <v>214708</v>
      </c>
      <c r="E13" s="164">
        <v>180000</v>
      </c>
      <c r="F13" s="164">
        <f>180000</f>
        <v>180000</v>
      </c>
      <c r="G13" s="164">
        <v>180000</v>
      </c>
      <c r="H13" s="164">
        <v>160000</v>
      </c>
      <c r="I13" s="164">
        <v>160000</v>
      </c>
      <c r="J13" s="199">
        <v>160000.035</v>
      </c>
      <c r="K13" s="199">
        <v>160000</v>
      </c>
      <c r="L13" s="199">
        <v>160000</v>
      </c>
      <c r="M13" s="199">
        <f>1705.3+198964.7</f>
        <v>200670</v>
      </c>
      <c r="N13" s="300">
        <f>6143.4+198907.1</f>
        <v>205050.5</v>
      </c>
      <c r="O13" s="300">
        <v>511910</v>
      </c>
      <c r="P13" s="300">
        <v>560249.30000000005</v>
      </c>
      <c r="Q13" s="302">
        <v>572251.1</v>
      </c>
      <c r="R13" s="302">
        <v>581832.19999999995</v>
      </c>
      <c r="S13" s="300">
        <v>648946.80000000005</v>
      </c>
      <c r="T13" s="300">
        <v>689188.7</v>
      </c>
      <c r="U13" s="300">
        <v>695104.3</v>
      </c>
    </row>
    <row r="14" spans="1:21">
      <c r="A14" s="33" t="s">
        <v>14</v>
      </c>
      <c r="B14" s="34" t="s">
        <v>15</v>
      </c>
      <c r="C14" s="164">
        <v>141456</v>
      </c>
      <c r="D14" s="164">
        <v>145851</v>
      </c>
      <c r="E14" s="164">
        <v>195602</v>
      </c>
      <c r="F14" s="164">
        <v>194519</v>
      </c>
      <c r="G14" s="164">
        <v>191868</v>
      </c>
      <c r="H14" s="164">
        <v>0</v>
      </c>
      <c r="I14" s="164">
        <v>0</v>
      </c>
      <c r="J14" s="196">
        <v>0</v>
      </c>
      <c r="K14" s="196">
        <v>0</v>
      </c>
      <c r="L14" s="196">
        <v>0</v>
      </c>
      <c r="M14" s="196">
        <v>0</v>
      </c>
      <c r="N14" s="298">
        <v>0</v>
      </c>
      <c r="O14" s="298">
        <v>0</v>
      </c>
      <c r="P14" s="298">
        <v>44790.8</v>
      </c>
      <c r="Q14" s="302">
        <v>104726.2</v>
      </c>
      <c r="R14" s="302">
        <v>136787.9</v>
      </c>
      <c r="S14" s="298">
        <v>150346.5</v>
      </c>
      <c r="T14" s="298">
        <v>150263.4</v>
      </c>
      <c r="U14" s="298">
        <v>145571.29999999999</v>
      </c>
    </row>
    <row r="15" spans="1:21">
      <c r="A15" s="35"/>
      <c r="B15" s="36"/>
      <c r="C15" s="30"/>
      <c r="D15" s="31"/>
      <c r="E15" s="30"/>
      <c r="F15" s="30"/>
      <c r="G15" s="149"/>
      <c r="H15" s="37"/>
      <c r="I15" s="156"/>
      <c r="J15" s="200"/>
      <c r="K15" s="200"/>
      <c r="L15" s="200"/>
      <c r="M15" s="200"/>
      <c r="N15" s="305"/>
      <c r="O15" s="305"/>
      <c r="P15" s="305"/>
      <c r="Q15" s="308"/>
      <c r="R15" s="308"/>
      <c r="S15" s="305"/>
      <c r="T15" s="305"/>
      <c r="U15" s="305"/>
    </row>
    <row r="16" spans="1:21">
      <c r="A16" s="11">
        <v>12</v>
      </c>
      <c r="B16" s="38" t="s">
        <v>16</v>
      </c>
      <c r="C16" s="13">
        <v>0</v>
      </c>
      <c r="D16" s="13">
        <v>0</v>
      </c>
      <c r="E16" s="13">
        <v>0</v>
      </c>
      <c r="F16" s="13">
        <v>0</v>
      </c>
      <c r="G16" s="13">
        <v>0</v>
      </c>
      <c r="H16" s="13">
        <v>0</v>
      </c>
      <c r="I16" s="13">
        <v>0</v>
      </c>
      <c r="J16" s="198">
        <v>0</v>
      </c>
      <c r="K16" s="198">
        <v>0</v>
      </c>
      <c r="L16" s="198">
        <v>0</v>
      </c>
      <c r="M16" s="198">
        <v>0</v>
      </c>
      <c r="N16" s="313">
        <v>0</v>
      </c>
      <c r="O16" s="313">
        <v>0</v>
      </c>
      <c r="P16" s="313">
        <v>0</v>
      </c>
      <c r="Q16" s="309">
        <v>0</v>
      </c>
      <c r="R16" s="309">
        <v>0</v>
      </c>
      <c r="S16" s="388">
        <v>0</v>
      </c>
      <c r="T16" s="388">
        <v>0</v>
      </c>
      <c r="U16" s="388">
        <v>0</v>
      </c>
    </row>
    <row r="17" spans="1:21">
      <c r="A17" s="39"/>
      <c r="B17" s="40"/>
      <c r="C17" s="16"/>
      <c r="D17" s="17"/>
      <c r="E17" s="16"/>
      <c r="F17" s="16"/>
      <c r="G17" s="91"/>
      <c r="H17" s="18"/>
      <c r="I17" s="18"/>
      <c r="J17" s="196"/>
      <c r="K17" s="196"/>
      <c r="L17" s="196"/>
      <c r="M17" s="196"/>
      <c r="N17" s="298"/>
      <c r="O17" s="298"/>
      <c r="P17" s="298"/>
      <c r="Q17" s="311"/>
      <c r="R17" s="311"/>
      <c r="S17" s="298"/>
      <c r="T17" s="298"/>
      <c r="U17" s="298"/>
    </row>
    <row r="18" spans="1:21">
      <c r="A18" s="11">
        <v>13</v>
      </c>
      <c r="B18" s="38" t="s">
        <v>17</v>
      </c>
      <c r="C18" s="13">
        <v>0</v>
      </c>
      <c r="D18" s="13">
        <v>0</v>
      </c>
      <c r="E18" s="13">
        <v>0</v>
      </c>
      <c r="F18" s="13">
        <v>0</v>
      </c>
      <c r="G18" s="13">
        <v>0</v>
      </c>
      <c r="H18" s="13">
        <v>0</v>
      </c>
      <c r="I18" s="13">
        <v>0</v>
      </c>
      <c r="J18" s="198">
        <v>0</v>
      </c>
      <c r="K18" s="198">
        <v>0</v>
      </c>
      <c r="L18" s="198">
        <v>0</v>
      </c>
      <c r="M18" s="198">
        <v>0</v>
      </c>
      <c r="N18" s="313">
        <v>0</v>
      </c>
      <c r="O18" s="313">
        <v>0</v>
      </c>
      <c r="P18" s="313">
        <v>0</v>
      </c>
      <c r="Q18" s="309">
        <v>0</v>
      </c>
      <c r="R18" s="309">
        <v>0</v>
      </c>
      <c r="S18" s="388">
        <v>0</v>
      </c>
      <c r="T18" s="388">
        <v>0</v>
      </c>
      <c r="U18" s="388">
        <v>0</v>
      </c>
    </row>
    <row r="19" spans="1:21">
      <c r="A19" s="41"/>
      <c r="B19" s="42"/>
      <c r="C19" s="22"/>
      <c r="D19" s="23"/>
      <c r="E19" s="22"/>
      <c r="F19" s="22"/>
      <c r="G19" s="56"/>
      <c r="H19" s="18"/>
      <c r="I19" s="18"/>
      <c r="J19" s="196"/>
      <c r="K19" s="196"/>
      <c r="L19" s="196"/>
      <c r="M19" s="196"/>
      <c r="N19" s="298"/>
      <c r="O19" s="298"/>
      <c r="P19" s="298"/>
      <c r="Q19" s="311"/>
      <c r="R19" s="311"/>
      <c r="S19" s="298"/>
      <c r="T19" s="298"/>
      <c r="U19" s="298"/>
    </row>
    <row r="20" spans="1:21">
      <c r="A20" s="43"/>
      <c r="B20" s="36"/>
      <c r="C20" s="30"/>
      <c r="D20" s="31"/>
      <c r="E20" s="30"/>
      <c r="F20" s="30"/>
      <c r="G20" s="150"/>
      <c r="H20" s="37"/>
      <c r="I20" s="156"/>
      <c r="J20" s="200"/>
      <c r="K20" s="200"/>
      <c r="L20" s="200"/>
      <c r="M20" s="200"/>
      <c r="N20" s="305"/>
      <c r="O20" s="305"/>
      <c r="P20" s="305"/>
      <c r="Q20" s="308"/>
      <c r="R20" s="308"/>
      <c r="S20" s="305"/>
      <c r="T20" s="305"/>
      <c r="U20" s="305"/>
    </row>
    <row r="21" spans="1:21">
      <c r="A21" s="11">
        <v>2</v>
      </c>
      <c r="B21" s="38" t="s">
        <v>18</v>
      </c>
      <c r="C21" s="13">
        <f t="shared" ref="C21:H21" si="16">C23+C28+C30+C32+C34</f>
        <v>2275955</v>
      </c>
      <c r="D21" s="13">
        <f t="shared" si="16"/>
        <v>2298227</v>
      </c>
      <c r="E21" s="13">
        <f t="shared" si="16"/>
        <v>2441641</v>
      </c>
      <c r="F21" s="13">
        <f t="shared" si="16"/>
        <v>2489064</v>
      </c>
      <c r="G21" s="13">
        <f t="shared" si="16"/>
        <v>2127462</v>
      </c>
      <c r="H21" s="13">
        <f t="shared" si="16"/>
        <v>3896495.1320000002</v>
      </c>
      <c r="I21" s="13">
        <f t="shared" ref="I21:N21" si="17">I23+I28+I30+I32+I34</f>
        <v>2890881</v>
      </c>
      <c r="J21" s="198">
        <f t="shared" si="17"/>
        <v>3032283.247</v>
      </c>
      <c r="K21" s="198">
        <f t="shared" si="17"/>
        <v>3209159</v>
      </c>
      <c r="L21" s="198">
        <f t="shared" si="17"/>
        <v>3071450</v>
      </c>
      <c r="M21" s="198">
        <f t="shared" si="17"/>
        <v>2675839.9</v>
      </c>
      <c r="N21" s="198">
        <f t="shared" si="17"/>
        <v>3204017.8</v>
      </c>
      <c r="O21" s="198">
        <f>O23+O28+O30+O32+O34</f>
        <v>3186600</v>
      </c>
      <c r="P21" s="198">
        <f>P23+P28+P30+P32+P34</f>
        <v>3759750.1</v>
      </c>
      <c r="Q21" s="13">
        <f t="shared" ref="Q21:R21" si="18">Q23+Q28+Q30+Q32+Q34</f>
        <v>3945665.4000000004</v>
      </c>
      <c r="R21" s="13">
        <f t="shared" si="18"/>
        <v>4031154.4999999995</v>
      </c>
      <c r="S21" s="348">
        <f t="shared" ref="S21:T21" si="19">S23+S28+S30+S32+S34</f>
        <v>4388774.4999999991</v>
      </c>
      <c r="T21" s="348">
        <f t="shared" si="19"/>
        <v>4851721.6000000006</v>
      </c>
      <c r="U21" s="348">
        <f t="shared" ref="U21" si="20">U23+U28+U30+U32+U34</f>
        <v>4793054.0000000009</v>
      </c>
    </row>
    <row r="22" spans="1:21">
      <c r="A22" s="44"/>
      <c r="B22" s="45"/>
      <c r="C22" s="16"/>
      <c r="D22" s="17"/>
      <c r="E22" s="16"/>
      <c r="F22" s="16"/>
      <c r="G22" s="56"/>
      <c r="H22" s="18"/>
      <c r="I22" s="18"/>
      <c r="J22" s="196"/>
      <c r="K22" s="196"/>
      <c r="L22" s="196"/>
      <c r="M22" s="196"/>
      <c r="N22" s="196"/>
      <c r="O22" s="196"/>
      <c r="P22" s="196"/>
      <c r="Q22" s="18"/>
      <c r="R22" s="18"/>
      <c r="S22" s="298"/>
      <c r="T22" s="298"/>
      <c r="U22" s="298"/>
    </row>
    <row r="23" spans="1:21">
      <c r="A23" s="46">
        <v>20</v>
      </c>
      <c r="B23" s="47" t="s">
        <v>19</v>
      </c>
      <c r="C23" s="13">
        <f t="shared" ref="C23:H23" si="21">C24+C25+C26</f>
        <v>1818761</v>
      </c>
      <c r="D23" s="13">
        <f t="shared" si="21"/>
        <v>1894192</v>
      </c>
      <c r="E23" s="13">
        <f t="shared" si="21"/>
        <v>2005667</v>
      </c>
      <c r="F23" s="13">
        <f t="shared" si="21"/>
        <v>1995927</v>
      </c>
      <c r="G23" s="13">
        <f t="shared" si="21"/>
        <v>1631046</v>
      </c>
      <c r="H23" s="13">
        <f t="shared" si="21"/>
        <v>3088713.1320000002</v>
      </c>
      <c r="I23" s="13">
        <f t="shared" ref="I23:N23" si="22">I24+I25+I26</f>
        <v>1940796</v>
      </c>
      <c r="J23" s="198">
        <f t="shared" si="22"/>
        <v>1948652.0529999998</v>
      </c>
      <c r="K23" s="198">
        <f t="shared" si="22"/>
        <v>1917383</v>
      </c>
      <c r="L23" s="198">
        <f t="shared" si="22"/>
        <v>1878434</v>
      </c>
      <c r="M23" s="198">
        <f t="shared" si="22"/>
        <v>2036805</v>
      </c>
      <c r="N23" s="198">
        <f t="shared" si="22"/>
        <v>2364945.2999999998</v>
      </c>
      <c r="O23" s="198">
        <f>O24+O25+O26</f>
        <v>2325000</v>
      </c>
      <c r="P23" s="198">
        <f>P24+P25+P26</f>
        <v>2660003.8000000003</v>
      </c>
      <c r="Q23" s="13">
        <f t="shared" ref="Q23:R23" si="23">Q24+Q25+Q26</f>
        <v>3762465.9</v>
      </c>
      <c r="R23" s="13">
        <f t="shared" si="23"/>
        <v>4402685.5999999996</v>
      </c>
      <c r="S23" s="348">
        <f t="shared" ref="S23:T23" si="24">S24+S25+S26</f>
        <v>4582162.3999999994</v>
      </c>
      <c r="T23" s="348">
        <f t="shared" si="24"/>
        <v>4666609</v>
      </c>
      <c r="U23" s="348">
        <f t="shared" ref="U23" si="25">U24+U25+U26</f>
        <v>4586610.6000000006</v>
      </c>
    </row>
    <row r="24" spans="1:21">
      <c r="A24" s="48" t="s">
        <v>20</v>
      </c>
      <c r="B24" s="49" t="s">
        <v>21</v>
      </c>
      <c r="C24" s="164">
        <v>738681</v>
      </c>
      <c r="D24" s="164">
        <f>1503020-678500</f>
        <v>824520</v>
      </c>
      <c r="E24" s="164">
        <f>1858219-913000</f>
        <v>945219</v>
      </c>
      <c r="F24" s="164">
        <f>1840392+91679-1043500</f>
        <v>888571</v>
      </c>
      <c r="G24" s="164">
        <f>1558239-1100900</f>
        <v>457339</v>
      </c>
      <c r="H24" s="164">
        <v>1890055</v>
      </c>
      <c r="I24" s="164">
        <f>794313+35000</f>
        <v>829313</v>
      </c>
      <c r="J24" s="220">
        <f>828213.391+102.173</f>
        <v>828315.5639999999</v>
      </c>
      <c r="K24" s="220">
        <f>790051+14650</f>
        <v>804701</v>
      </c>
      <c r="L24" s="196">
        <f>833540+21420</f>
        <v>854960</v>
      </c>
      <c r="M24" s="196">
        <f>1014708.3+4422.3</f>
        <v>1019130.6000000001</v>
      </c>
      <c r="N24" s="298">
        <f>1039140.4+20242.9</f>
        <v>1059383.3</v>
      </c>
      <c r="O24" s="298">
        <v>1016300</v>
      </c>
      <c r="P24" s="298">
        <v>1259578.2</v>
      </c>
      <c r="Q24" s="302">
        <v>1300039.3999999999</v>
      </c>
      <c r="R24" s="302">
        <v>1063272.8</v>
      </c>
      <c r="S24" s="298">
        <v>1284839.3</v>
      </c>
      <c r="T24" s="298">
        <v>1367410.5999999999</v>
      </c>
      <c r="U24" s="298">
        <v>1442903.9</v>
      </c>
    </row>
    <row r="25" spans="1:21">
      <c r="A25" s="50">
        <v>202</v>
      </c>
      <c r="B25" s="51" t="s">
        <v>22</v>
      </c>
      <c r="C25" s="164">
        <v>971193</v>
      </c>
      <c r="D25" s="164">
        <v>949488</v>
      </c>
      <c r="E25" s="164">
        <v>915120</v>
      </c>
      <c r="F25" s="164">
        <v>1001170</v>
      </c>
      <c r="G25" s="164">
        <v>1050974</v>
      </c>
      <c r="H25" s="164">
        <v>996736</v>
      </c>
      <c r="I25" s="164">
        <v>996736</v>
      </c>
      <c r="J25" s="221">
        <v>971736</v>
      </c>
      <c r="K25" s="221">
        <v>955000</v>
      </c>
      <c r="L25" s="199">
        <f>856981</f>
        <v>856981</v>
      </c>
      <c r="M25" s="199">
        <f>857433.5</f>
        <v>857433.5</v>
      </c>
      <c r="N25" s="300">
        <v>1092433.5</v>
      </c>
      <c r="O25" s="300">
        <v>1132400</v>
      </c>
      <c r="P25" s="300">
        <v>1202793.5</v>
      </c>
      <c r="Q25" s="302">
        <v>2276378.7999999998</v>
      </c>
      <c r="R25" s="302">
        <v>3135959.7</v>
      </c>
      <c r="S25" s="300">
        <v>3091274.3</v>
      </c>
      <c r="T25" s="300">
        <v>3047414.2</v>
      </c>
      <c r="U25" s="300">
        <v>2924545</v>
      </c>
    </row>
    <row r="26" spans="1:21">
      <c r="A26" s="50">
        <v>205</v>
      </c>
      <c r="B26" s="52" t="s">
        <v>23</v>
      </c>
      <c r="C26" s="164">
        <v>108887</v>
      </c>
      <c r="D26" s="164">
        <v>120184</v>
      </c>
      <c r="E26" s="164">
        <v>145328</v>
      </c>
      <c r="F26" s="164">
        <v>106186</v>
      </c>
      <c r="G26" s="164">
        <v>122733</v>
      </c>
      <c r="H26" s="164">
        <v>201922.13200000001</v>
      </c>
      <c r="I26" s="164">
        <v>114747</v>
      </c>
      <c r="J26" s="222">
        <v>148600.489</v>
      </c>
      <c r="K26" s="222">
        <v>157682</v>
      </c>
      <c r="L26" s="196">
        <f>166493</f>
        <v>166493</v>
      </c>
      <c r="M26" s="196">
        <v>160240.9</v>
      </c>
      <c r="N26" s="298">
        <v>213128.5</v>
      </c>
      <c r="O26" s="298">
        <v>176300</v>
      </c>
      <c r="P26" s="298">
        <v>197632.1</v>
      </c>
      <c r="Q26" s="302">
        <v>186047.7</v>
      </c>
      <c r="R26" s="302">
        <v>203453.1</v>
      </c>
      <c r="S26" s="298">
        <v>206048.8</v>
      </c>
      <c r="T26" s="298">
        <v>251784.2</v>
      </c>
      <c r="U26" s="298">
        <v>219161.7</v>
      </c>
    </row>
    <row r="27" spans="1:21">
      <c r="A27" s="35"/>
      <c r="B27" s="36"/>
      <c r="C27" s="30"/>
      <c r="D27" s="31"/>
      <c r="E27" s="30"/>
      <c r="F27" s="30"/>
      <c r="G27" s="150"/>
      <c r="H27" s="37"/>
      <c r="I27" s="156"/>
      <c r="J27" s="200"/>
      <c r="K27" s="200"/>
      <c r="L27" s="200"/>
      <c r="M27" s="200"/>
      <c r="N27" s="305"/>
      <c r="O27" s="305"/>
      <c r="P27" s="305"/>
      <c r="Q27" s="308"/>
      <c r="R27" s="308"/>
      <c r="S27" s="305"/>
      <c r="T27" s="305"/>
      <c r="U27" s="305"/>
    </row>
    <row r="28" spans="1:21">
      <c r="A28" s="11">
        <v>23</v>
      </c>
      <c r="B28" s="38" t="s">
        <v>24</v>
      </c>
      <c r="C28" s="13">
        <v>201</v>
      </c>
      <c r="D28" s="13">
        <v>362</v>
      </c>
      <c r="E28" s="13">
        <v>7446</v>
      </c>
      <c r="F28" s="13">
        <v>110775</v>
      </c>
      <c r="G28" s="13">
        <v>151273</v>
      </c>
      <c r="H28" s="13">
        <v>283081</v>
      </c>
      <c r="I28" s="13">
        <v>383385</v>
      </c>
      <c r="J28" s="198">
        <v>470775.82799999998</v>
      </c>
      <c r="K28" s="198">
        <v>676518</v>
      </c>
      <c r="L28" s="198">
        <v>637268</v>
      </c>
      <c r="M28" s="198">
        <v>0</v>
      </c>
      <c r="N28" s="313">
        <v>0</v>
      </c>
      <c r="O28" s="313">
        <v>0</v>
      </c>
      <c r="P28" s="313">
        <v>0</v>
      </c>
      <c r="Q28" s="309"/>
      <c r="R28" s="309"/>
      <c r="S28" s="388"/>
      <c r="T28" s="388"/>
      <c r="U28" s="388"/>
    </row>
    <row r="29" spans="1:21">
      <c r="A29" s="53"/>
      <c r="B29" s="40"/>
      <c r="C29" s="16"/>
      <c r="D29" s="17"/>
      <c r="E29" s="16"/>
      <c r="F29" s="16"/>
      <c r="G29" s="148"/>
      <c r="H29" s="18"/>
      <c r="I29" s="18"/>
      <c r="J29" s="196"/>
      <c r="K29" s="196"/>
      <c r="L29" s="196"/>
      <c r="M29" s="196"/>
      <c r="N29" s="298"/>
      <c r="O29" s="298"/>
      <c r="P29" s="298"/>
      <c r="Q29" s="311"/>
      <c r="R29" s="311"/>
      <c r="S29" s="298"/>
      <c r="T29" s="298"/>
      <c r="U29" s="298"/>
    </row>
    <row r="30" spans="1:21">
      <c r="A30" s="11">
        <v>24</v>
      </c>
      <c r="B30" s="38" t="s">
        <v>25</v>
      </c>
      <c r="C30" s="13">
        <v>134201</v>
      </c>
      <c r="D30" s="13">
        <v>131882</v>
      </c>
      <c r="E30" s="13">
        <v>199866</v>
      </c>
      <c r="F30" s="13">
        <v>203664</v>
      </c>
      <c r="G30" s="13">
        <v>212665</v>
      </c>
      <c r="H30" s="13">
        <v>360158</v>
      </c>
      <c r="I30" s="13">
        <v>381111</v>
      </c>
      <c r="J30" s="198">
        <v>404742.016</v>
      </c>
      <c r="K30" s="198">
        <v>404950</v>
      </c>
      <c r="L30" s="198">
        <v>401354</v>
      </c>
      <c r="M30" s="198">
        <f>750.1+449882.4</f>
        <v>450632.5</v>
      </c>
      <c r="N30" s="313">
        <f>944.5+458109.7</f>
        <v>459054.2</v>
      </c>
      <c r="O30" s="313">
        <v>542100</v>
      </c>
      <c r="P30" s="313">
        <v>547439.9</v>
      </c>
      <c r="Q30" s="309">
        <v>799814.5</v>
      </c>
      <c r="R30" s="309">
        <v>223448.8</v>
      </c>
      <c r="S30" s="388">
        <v>497558.3</v>
      </c>
      <c r="T30" s="388">
        <v>572030.4</v>
      </c>
      <c r="U30" s="388">
        <v>436855.39999999997</v>
      </c>
    </row>
    <row r="31" spans="1:21">
      <c r="A31" s="44"/>
      <c r="B31" s="45"/>
      <c r="C31" s="164"/>
      <c r="D31" s="17"/>
      <c r="E31" s="16"/>
      <c r="F31" s="16"/>
      <c r="G31" s="13"/>
      <c r="H31" s="18"/>
      <c r="I31" s="18"/>
      <c r="J31" s="196"/>
      <c r="K31" s="196"/>
      <c r="L31" s="196"/>
      <c r="M31" s="196"/>
      <c r="N31" s="298"/>
      <c r="O31" s="298"/>
      <c r="P31" s="298"/>
      <c r="Q31" s="311"/>
      <c r="R31" s="311"/>
      <c r="S31" s="298"/>
      <c r="T31" s="298"/>
      <c r="U31" s="298"/>
    </row>
    <row r="32" spans="1:21">
      <c r="A32" s="54">
        <v>28</v>
      </c>
      <c r="B32" s="47" t="s">
        <v>26</v>
      </c>
      <c r="C32" s="13">
        <v>0</v>
      </c>
      <c r="D32" s="13">
        <v>0</v>
      </c>
      <c r="E32" s="13">
        <v>0</v>
      </c>
      <c r="F32" s="13">
        <v>0</v>
      </c>
      <c r="G32" s="13">
        <v>0</v>
      </c>
      <c r="H32" s="13">
        <v>0</v>
      </c>
      <c r="I32" s="13">
        <v>0</v>
      </c>
      <c r="J32" s="198">
        <v>0</v>
      </c>
      <c r="K32" s="198">
        <v>0</v>
      </c>
      <c r="L32" s="198">
        <v>0</v>
      </c>
      <c r="M32" s="198">
        <v>10618.5</v>
      </c>
      <c r="N32" s="313">
        <v>11227.5</v>
      </c>
      <c r="O32" s="313">
        <v>0</v>
      </c>
      <c r="P32" s="313">
        <v>0</v>
      </c>
      <c r="Q32" s="309">
        <v>0</v>
      </c>
      <c r="R32" s="309">
        <v>0</v>
      </c>
      <c r="S32" s="388">
        <v>0</v>
      </c>
      <c r="T32" s="388">
        <v>44672.5</v>
      </c>
      <c r="U32" s="388">
        <v>53251.5</v>
      </c>
    </row>
    <row r="33" spans="1:21">
      <c r="A33" s="53"/>
      <c r="B33" s="40"/>
      <c r="C33" s="16"/>
      <c r="D33" s="17"/>
      <c r="E33" s="16"/>
      <c r="F33" s="16"/>
      <c r="G33" s="13"/>
      <c r="H33" s="18"/>
      <c r="I33" s="18"/>
      <c r="J33" s="196"/>
      <c r="K33" s="196"/>
      <c r="L33" s="196"/>
      <c r="M33" s="196"/>
      <c r="N33" s="298"/>
      <c r="O33" s="298"/>
      <c r="P33" s="298"/>
      <c r="Q33" s="311"/>
      <c r="R33" s="311"/>
      <c r="S33" s="298"/>
      <c r="T33" s="298"/>
      <c r="U33" s="298"/>
    </row>
    <row r="34" spans="1:21">
      <c r="A34" s="11">
        <v>29</v>
      </c>
      <c r="B34" s="38" t="s">
        <v>27</v>
      </c>
      <c r="C34" s="13">
        <v>322792</v>
      </c>
      <c r="D34" s="13">
        <v>271791</v>
      </c>
      <c r="E34" s="13">
        <v>228662</v>
      </c>
      <c r="F34" s="13">
        <v>178698</v>
      </c>
      <c r="G34" s="13">
        <v>132478</v>
      </c>
      <c r="H34" s="13">
        <v>164543</v>
      </c>
      <c r="I34" s="13">
        <v>185589</v>
      </c>
      <c r="J34" s="198">
        <v>208113.35</v>
      </c>
      <c r="K34" s="198">
        <v>210308</v>
      </c>
      <c r="L34" s="198">
        <v>154394</v>
      </c>
      <c r="M34" s="198">
        <v>177783.9</v>
      </c>
      <c r="N34" s="313">
        <v>368790.8</v>
      </c>
      <c r="O34" s="313">
        <v>319500</v>
      </c>
      <c r="P34" s="313">
        <v>552306.4</v>
      </c>
      <c r="Q34" s="309">
        <v>-616615</v>
      </c>
      <c r="R34" s="309">
        <v>-594979.9</v>
      </c>
      <c r="S34" s="388">
        <v>-690946.2</v>
      </c>
      <c r="T34" s="388">
        <v>-431590.3</v>
      </c>
      <c r="U34" s="388">
        <v>-283663.5</v>
      </c>
    </row>
    <row r="35" spans="1:21">
      <c r="A35" s="41"/>
      <c r="B35" s="42"/>
      <c r="C35" s="56"/>
      <c r="D35" s="57"/>
      <c r="E35" s="56"/>
      <c r="F35" s="56"/>
      <c r="G35" s="56"/>
      <c r="H35" s="56"/>
      <c r="I35" s="56"/>
      <c r="J35" s="167"/>
      <c r="K35" s="167"/>
      <c r="L35" s="167"/>
      <c r="M35" s="167"/>
      <c r="N35" s="167"/>
      <c r="O35" s="167"/>
      <c r="P35" s="167"/>
      <c r="Q35" s="311"/>
      <c r="R35" s="311"/>
      <c r="S35" s="360"/>
      <c r="T35" s="360"/>
      <c r="U35" s="360"/>
    </row>
    <row r="36" spans="1:21">
      <c r="A36" s="170"/>
      <c r="B36" s="60"/>
      <c r="C36" s="171"/>
      <c r="D36" s="172"/>
      <c r="E36" s="171"/>
      <c r="F36" s="173"/>
      <c r="G36" s="174"/>
      <c r="H36" s="174"/>
      <c r="I36" s="174"/>
      <c r="J36" s="155"/>
      <c r="K36" s="155"/>
      <c r="L36" s="225"/>
      <c r="M36" s="225"/>
      <c r="N36" s="225"/>
      <c r="O36" s="225"/>
      <c r="P36" s="225"/>
      <c r="Q36" s="341"/>
      <c r="R36" s="341"/>
      <c r="S36" s="362"/>
      <c r="T36" s="362"/>
      <c r="U36" s="362"/>
    </row>
    <row r="37" spans="1:21">
      <c r="A37" s="66"/>
      <c r="B37" s="66"/>
      <c r="C37" s="65"/>
      <c r="D37" s="65"/>
      <c r="E37" s="65"/>
      <c r="F37" s="67"/>
      <c r="G37" s="65"/>
      <c r="H37" s="68"/>
      <c r="I37" s="65"/>
      <c r="R37" s="2"/>
    </row>
    <row r="38" spans="1:21">
      <c r="A38" s="2"/>
      <c r="B38" s="161"/>
      <c r="C38" s="161"/>
      <c r="D38" s="162"/>
      <c r="E38" s="162"/>
      <c r="F38" s="163"/>
    </row>
    <row r="39" spans="1:21">
      <c r="A39" s="2"/>
      <c r="B39" s="161"/>
      <c r="C39" s="75"/>
    </row>
    <row r="40" spans="1:21">
      <c r="A40" s="2"/>
      <c r="B40" s="161"/>
      <c r="C40" s="7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39.140625"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78</v>
      </c>
      <c r="C2" s="79"/>
      <c r="D2" s="79"/>
      <c r="E2" s="79"/>
      <c r="F2" s="79"/>
      <c r="G2" s="79"/>
      <c r="H2" s="79"/>
      <c r="I2" s="79"/>
      <c r="J2" s="6"/>
      <c r="K2" s="6"/>
      <c r="L2" s="6"/>
      <c r="M2" s="6"/>
      <c r="N2" s="6"/>
      <c r="O2" s="6"/>
      <c r="P2" s="370" t="s">
        <v>103</v>
      </c>
      <c r="Q2" s="370" t="s">
        <v>103</v>
      </c>
      <c r="R2" s="370" t="s">
        <v>103</v>
      </c>
      <c r="S2" s="370" t="s">
        <v>103</v>
      </c>
      <c r="T2" s="370" t="s">
        <v>103</v>
      </c>
      <c r="U2" s="37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H4" si="0">C6+C11+C16+C18</f>
        <v>5801063</v>
      </c>
      <c r="D4" s="87">
        <f t="shared" si="0"/>
        <v>5848818</v>
      </c>
      <c r="E4" s="87">
        <f t="shared" si="0"/>
        <v>5823924</v>
      </c>
      <c r="F4" s="87">
        <f t="shared" si="0"/>
        <v>5361831.7089999998</v>
      </c>
      <c r="G4" s="87">
        <f t="shared" si="0"/>
        <v>5392167.6500000004</v>
      </c>
      <c r="H4" s="87">
        <f t="shared" si="0"/>
        <v>5418912.7489999998</v>
      </c>
      <c r="I4" s="13">
        <f>I6+I11+I16+I18</f>
        <v>5347313.7579999994</v>
      </c>
      <c r="J4" s="13">
        <f>5812914519/1000</f>
        <v>5812914.5190000003</v>
      </c>
      <c r="K4" s="13">
        <f t="shared" ref="K4:Q4" si="1">K6+K11+K16+K18</f>
        <v>5217522</v>
      </c>
      <c r="L4" s="198">
        <f t="shared" si="1"/>
        <v>5366787</v>
      </c>
      <c r="M4" s="198">
        <f t="shared" si="1"/>
        <v>6120910.3909400003</v>
      </c>
      <c r="N4" s="198">
        <f t="shared" si="1"/>
        <v>6680555.72389</v>
      </c>
      <c r="O4" s="198">
        <f t="shared" si="1"/>
        <v>6690610.8040000005</v>
      </c>
      <c r="P4" s="198">
        <f t="shared" si="1"/>
        <v>10538821.406820001</v>
      </c>
      <c r="Q4" s="13">
        <f t="shared" si="1"/>
        <v>10947782.109609999</v>
      </c>
      <c r="R4" s="13">
        <f t="shared" ref="R4" si="2">R6+R11+R16+R18</f>
        <v>11266197.06837</v>
      </c>
      <c r="S4" s="348">
        <f t="shared" ref="S4:T4" si="3">S6+S11+S16+S18</f>
        <v>11358632.594829999</v>
      </c>
      <c r="T4" s="348">
        <f t="shared" si="3"/>
        <v>11620702.257540001</v>
      </c>
      <c r="U4" s="348">
        <f t="shared" ref="U4" si="4">U6+U11+U16+U18</f>
        <v>11523129.706150001</v>
      </c>
    </row>
    <row r="5" spans="1:21">
      <c r="A5" s="14"/>
      <c r="B5" s="15"/>
      <c r="C5" s="16"/>
      <c r="D5" s="17"/>
      <c r="E5" s="16"/>
      <c r="F5" s="16"/>
      <c r="G5" s="149"/>
      <c r="H5" s="18"/>
      <c r="I5" s="18"/>
      <c r="J5" s="18"/>
      <c r="K5" s="18"/>
      <c r="L5" s="196"/>
      <c r="M5" s="196"/>
      <c r="N5" s="196"/>
      <c r="O5" s="196"/>
      <c r="P5" s="196"/>
      <c r="Q5" s="18"/>
      <c r="R5" s="18"/>
      <c r="S5" s="298"/>
      <c r="T5" s="298"/>
      <c r="U5" s="298"/>
    </row>
    <row r="6" spans="1:21">
      <c r="A6" s="19">
        <v>10</v>
      </c>
      <c r="B6" s="12" t="s">
        <v>6</v>
      </c>
      <c r="C6" s="13">
        <f t="shared" ref="C6:H6" si="5">C7+C8+C9</f>
        <v>2175484</v>
      </c>
      <c r="D6" s="13">
        <f t="shared" si="5"/>
        <v>2201538</v>
      </c>
      <c r="E6" s="13">
        <f t="shared" si="5"/>
        <v>2116797</v>
      </c>
      <c r="F6" s="13">
        <f t="shared" si="5"/>
        <v>1787972.7560000001</v>
      </c>
      <c r="G6" s="13">
        <f t="shared" si="5"/>
        <v>1876019.5379999999</v>
      </c>
      <c r="H6" s="13">
        <f t="shared" si="5"/>
        <v>2203557</v>
      </c>
      <c r="I6" s="13">
        <f>SUM(I7:I9)</f>
        <v>2569786</v>
      </c>
      <c r="J6" s="13">
        <f>3016895180/1000</f>
        <v>3016895.18</v>
      </c>
      <c r="K6" s="13">
        <f t="shared" ref="K6:P6" si="6">K7+K8+K9</f>
        <v>2383023</v>
      </c>
      <c r="L6" s="198">
        <f t="shared" si="6"/>
        <v>2470519</v>
      </c>
      <c r="M6" s="198">
        <f t="shared" si="6"/>
        <v>2775375.0411100001</v>
      </c>
      <c r="N6" s="198">
        <f t="shared" si="6"/>
        <v>3207960.4898899999</v>
      </c>
      <c r="O6" s="198">
        <f t="shared" si="6"/>
        <v>2799587.8470000001</v>
      </c>
      <c r="P6" s="198">
        <f t="shared" si="6"/>
        <v>4812264.5708000008</v>
      </c>
      <c r="Q6" s="13">
        <f>Q7+Q8+Q9</f>
        <v>5104770.1430900004</v>
      </c>
      <c r="R6" s="13">
        <f>R7+R8+R9</f>
        <v>5105935.4052200001</v>
      </c>
      <c r="S6" s="348">
        <f>S7+S8+S9</f>
        <v>5464335.4546499997</v>
      </c>
      <c r="T6" s="348">
        <f>T7+T8+T9</f>
        <v>5555741.6303599998</v>
      </c>
      <c r="U6" s="348">
        <f>U7+U8+U9</f>
        <v>5572116.8028000006</v>
      </c>
    </row>
    <row r="7" spans="1:21">
      <c r="A7" s="20" t="s">
        <v>7</v>
      </c>
      <c r="B7" s="21" t="s">
        <v>8</v>
      </c>
      <c r="C7" s="164">
        <f>151327+977144</f>
        <v>1128471</v>
      </c>
      <c r="D7" s="164">
        <f>151335+1014821</f>
        <v>1166156</v>
      </c>
      <c r="E7" s="164">
        <f>138118+967522</f>
        <v>1105640</v>
      </c>
      <c r="F7" s="164">
        <f>151435.492+702199.056</f>
        <v>853634.54799999995</v>
      </c>
      <c r="G7" s="164">
        <f>50491.163+965868.984</f>
        <v>1016360.1470000001</v>
      </c>
      <c r="H7" s="164">
        <v>1355825</v>
      </c>
      <c r="I7" s="164">
        <f>ROUND((245133970+823529368)/1000,0)</f>
        <v>1068663</v>
      </c>
      <c r="J7" s="196">
        <f>(70268385+1361698504)/1000</f>
        <v>1431966.889</v>
      </c>
      <c r="K7" s="196">
        <f>ROUND((269022100+566440933)/1000,0)</f>
        <v>835463</v>
      </c>
      <c r="L7" s="196">
        <f>ROUND((160155021+660111897)/1000,0)</f>
        <v>820267</v>
      </c>
      <c r="M7" s="196">
        <v>864873</v>
      </c>
      <c r="N7" s="298">
        <v>1252114.66289</v>
      </c>
      <c r="O7" s="298">
        <f>381065.193+444174.128</f>
        <v>825239.321</v>
      </c>
      <c r="P7" s="298">
        <v>1001812.71557</v>
      </c>
      <c r="Q7" s="302">
        <v>1243719.73807</v>
      </c>
      <c r="R7" s="302">
        <v>974102.69169999997</v>
      </c>
      <c r="S7" s="298">
        <v>812036.40382999997</v>
      </c>
      <c r="T7" s="298">
        <v>593947.76575999998</v>
      </c>
      <c r="U7" s="298">
        <v>599053.94504000002</v>
      </c>
    </row>
    <row r="8" spans="1:21">
      <c r="A8" s="25">
        <v>102</v>
      </c>
      <c r="B8" s="26" t="s">
        <v>9</v>
      </c>
      <c r="C8" s="164">
        <f>742756-1+181970</f>
        <v>924725</v>
      </c>
      <c r="D8" s="164">
        <v>853041</v>
      </c>
      <c r="E8" s="164">
        <v>839083</v>
      </c>
      <c r="F8" s="164">
        <v>676881.348</v>
      </c>
      <c r="G8" s="164">
        <v>684563.02899999998</v>
      </c>
      <c r="H8" s="164">
        <v>705384</v>
      </c>
      <c r="I8" s="164">
        <f>ROUND(1379902,0)</f>
        <v>1379902</v>
      </c>
      <c r="J8" s="196">
        <f>1470925068/1000</f>
        <v>1470925.068</v>
      </c>
      <c r="K8" s="196">
        <f>ROUND(1432860015/1000,0)</f>
        <v>1432860</v>
      </c>
      <c r="L8" s="199">
        <f>ROUND(1530387185/1000,0)</f>
        <v>1530387</v>
      </c>
      <c r="M8" s="199">
        <v>1775505.6910000001</v>
      </c>
      <c r="N8" s="300">
        <v>1784917.6680000001</v>
      </c>
      <c r="O8" s="300">
        <v>1861819.351</v>
      </c>
      <c r="P8" s="300">
        <v>1998290.6731</v>
      </c>
      <c r="Q8" s="302">
        <v>2107744.2829100001</v>
      </c>
      <c r="R8" s="302">
        <v>2433076.4871899998</v>
      </c>
      <c r="S8" s="300">
        <v>3008406.0850800001</v>
      </c>
      <c r="T8" s="300">
        <v>2857142.9168799999</v>
      </c>
      <c r="U8" s="300">
        <v>2993489.4224300003</v>
      </c>
    </row>
    <row r="9" spans="1:21">
      <c r="A9" s="25">
        <v>103</v>
      </c>
      <c r="B9" s="26" t="s">
        <v>10</v>
      </c>
      <c r="C9" s="164">
        <v>122288</v>
      </c>
      <c r="D9" s="164">
        <v>182341</v>
      </c>
      <c r="E9" s="164">
        <v>172074</v>
      </c>
      <c r="F9" s="164">
        <v>257456.86</v>
      </c>
      <c r="G9" s="164">
        <v>175096.36199999999</v>
      </c>
      <c r="H9" s="164">
        <v>142348</v>
      </c>
      <c r="I9" s="164">
        <f>ROUND(121221,0)</f>
        <v>121221</v>
      </c>
      <c r="J9" s="196">
        <f>114003223/1000</f>
        <v>114003.223</v>
      </c>
      <c r="K9" s="196">
        <f>114700</f>
        <v>114700</v>
      </c>
      <c r="L9" s="196">
        <v>119865</v>
      </c>
      <c r="M9" s="196">
        <v>134996.35011000003</v>
      </c>
      <c r="N9" s="298">
        <v>170928.15900000001</v>
      </c>
      <c r="O9" s="298">
        <v>112529.175</v>
      </c>
      <c r="P9" s="298">
        <v>1812161.1821300001</v>
      </c>
      <c r="Q9" s="302">
        <v>1753306.1221100001</v>
      </c>
      <c r="R9" s="302">
        <v>1698756.22633</v>
      </c>
      <c r="S9" s="298">
        <v>1643892.9657399999</v>
      </c>
      <c r="T9" s="298">
        <v>2104650.9477200001</v>
      </c>
      <c r="U9" s="298">
        <v>1979573.43533</v>
      </c>
    </row>
    <row r="10" spans="1:21">
      <c r="A10" s="28"/>
      <c r="B10" s="29"/>
      <c r="C10" s="30"/>
      <c r="D10" s="31"/>
      <c r="E10" s="30"/>
      <c r="F10" s="30"/>
      <c r="G10" s="149"/>
      <c r="H10" s="18"/>
      <c r="I10" s="18"/>
      <c r="J10" s="18"/>
      <c r="K10" s="18"/>
      <c r="L10" s="196"/>
      <c r="M10" s="196"/>
      <c r="N10" s="196"/>
      <c r="O10" s="196"/>
      <c r="P10" s="196"/>
      <c r="Q10" s="18"/>
      <c r="R10" s="18"/>
      <c r="S10" s="298"/>
      <c r="T10" s="298"/>
      <c r="U10" s="298"/>
    </row>
    <row r="11" spans="1:21">
      <c r="A11" s="19">
        <v>11</v>
      </c>
      <c r="B11" s="12" t="s">
        <v>11</v>
      </c>
      <c r="C11" s="13">
        <f t="shared" ref="C11:H11" si="7">C12+C13+C14</f>
        <v>3230293</v>
      </c>
      <c r="D11" s="13">
        <f t="shared" si="7"/>
        <v>3255990</v>
      </c>
      <c r="E11" s="13">
        <f t="shared" si="7"/>
        <v>3214057</v>
      </c>
      <c r="F11" s="13">
        <f t="shared" si="7"/>
        <v>3171888.7569999998</v>
      </c>
      <c r="G11" s="13">
        <f t="shared" si="7"/>
        <v>3072638.3470000001</v>
      </c>
      <c r="H11" s="13">
        <f t="shared" si="7"/>
        <v>2771532</v>
      </c>
      <c r="I11" s="13">
        <f>I12+I13+I14</f>
        <v>2748013.7579999999</v>
      </c>
      <c r="J11" s="13">
        <f>2765874963/1000</f>
        <v>2765874.963</v>
      </c>
      <c r="K11" s="13">
        <f t="shared" ref="K11:Q11" si="8">K12+K13+K14</f>
        <v>2834499</v>
      </c>
      <c r="L11" s="198">
        <f t="shared" si="8"/>
        <v>2896268</v>
      </c>
      <c r="M11" s="198">
        <f t="shared" si="8"/>
        <v>2970721.6058299998</v>
      </c>
      <c r="N11" s="198">
        <f t="shared" si="8"/>
        <v>3126308.49</v>
      </c>
      <c r="O11" s="198">
        <f t="shared" si="8"/>
        <v>3574273.213</v>
      </c>
      <c r="P11" s="198">
        <f t="shared" si="8"/>
        <v>5705761.9613999994</v>
      </c>
      <c r="Q11" s="13">
        <f t="shared" si="8"/>
        <v>5843011.9665199993</v>
      </c>
      <c r="R11" s="13">
        <f t="shared" ref="R11" si="9">R12+R13+R14</f>
        <v>6160261.6631500004</v>
      </c>
      <c r="S11" s="348">
        <f t="shared" ref="S11:T11" si="10">S12+S13+S14</f>
        <v>5894297.1401799992</v>
      </c>
      <c r="T11" s="348">
        <f t="shared" si="10"/>
        <v>6064960.6271800008</v>
      </c>
      <c r="U11" s="348">
        <f t="shared" ref="U11" si="11">U12+U13+U14</f>
        <v>5951012.9033500003</v>
      </c>
    </row>
    <row r="12" spans="1:21">
      <c r="A12" s="32">
        <v>114</v>
      </c>
      <c r="B12" s="21" t="s">
        <v>12</v>
      </c>
      <c r="C12" s="164">
        <v>2331546</v>
      </c>
      <c r="D12" s="164">
        <v>2430512</v>
      </c>
      <c r="E12" s="164">
        <f>2441286+1</f>
        <v>2441287</v>
      </c>
      <c r="F12" s="164">
        <v>2398793.2009999999</v>
      </c>
      <c r="G12" s="164">
        <v>2303104.892</v>
      </c>
      <c r="H12" s="164">
        <v>2048088</v>
      </c>
      <c r="I12" s="164">
        <f>ROUND(1772607607/1000,0)</f>
        <v>1772608</v>
      </c>
      <c r="J12" s="196">
        <f>1766489536/1000</f>
        <v>1766489.5360000001</v>
      </c>
      <c r="K12" s="196">
        <f>ROUND(1790167237/1000,0)</f>
        <v>1790167</v>
      </c>
      <c r="L12" s="196">
        <f>ROUND(1768453513/1000,0)</f>
        <v>1768454</v>
      </c>
      <c r="M12" s="196">
        <v>1792922.43783</v>
      </c>
      <c r="N12" s="298">
        <v>1892746.1189999999</v>
      </c>
      <c r="O12" s="298">
        <v>1572820.834</v>
      </c>
      <c r="P12" s="298">
        <v>2765135.8172499998</v>
      </c>
      <c r="Q12" s="302">
        <v>2880772.8889599997</v>
      </c>
      <c r="R12" s="302">
        <v>3078079.0677200002</v>
      </c>
      <c r="S12" s="298">
        <v>3305574.1842700001</v>
      </c>
      <c r="T12" s="298">
        <v>3424839.1852000002</v>
      </c>
      <c r="U12" s="298">
        <v>3334144.9539999999</v>
      </c>
    </row>
    <row r="13" spans="1:21">
      <c r="A13" s="25">
        <v>115</v>
      </c>
      <c r="B13" s="26" t="s">
        <v>13</v>
      </c>
      <c r="C13" s="164">
        <v>898747</v>
      </c>
      <c r="D13" s="164">
        <v>825478</v>
      </c>
      <c r="E13" s="164">
        <v>772770</v>
      </c>
      <c r="F13" s="164">
        <v>773095.55599999998</v>
      </c>
      <c r="G13" s="164">
        <v>769533.45499999996</v>
      </c>
      <c r="H13" s="164">
        <v>723444</v>
      </c>
      <c r="I13" s="164">
        <f>975405758/1000</f>
        <v>975405.75800000003</v>
      </c>
      <c r="J13" s="196">
        <f>999385426/1000</f>
        <v>999385.42599999998</v>
      </c>
      <c r="K13" s="196">
        <f>ROUND(1044332096/1000,0)</f>
        <v>1044332</v>
      </c>
      <c r="L13" s="199">
        <f>ROUND(1127814204/1000,0)</f>
        <v>1127814</v>
      </c>
      <c r="M13" s="199">
        <v>1177799.1680000001</v>
      </c>
      <c r="N13" s="300">
        <v>1233562.371</v>
      </c>
      <c r="O13" s="300">
        <v>2001452.379</v>
      </c>
      <c r="P13" s="300">
        <v>2806447.4089099998</v>
      </c>
      <c r="Q13" s="302">
        <v>2820203.2728499998</v>
      </c>
      <c r="R13" s="302">
        <v>2927159.1407900001</v>
      </c>
      <c r="S13" s="300">
        <v>2242399.1534199999</v>
      </c>
      <c r="T13" s="300">
        <v>2324400.5493399999</v>
      </c>
      <c r="U13" s="300">
        <v>2353270.5784</v>
      </c>
    </row>
    <row r="14" spans="1:21">
      <c r="A14" s="33" t="s">
        <v>14</v>
      </c>
      <c r="B14" s="34" t="s">
        <v>15</v>
      </c>
      <c r="C14" s="164">
        <v>0</v>
      </c>
      <c r="D14" s="164">
        <v>0</v>
      </c>
      <c r="E14" s="164">
        <v>0</v>
      </c>
      <c r="F14" s="164">
        <v>0</v>
      </c>
      <c r="G14" s="164">
        <v>0</v>
      </c>
      <c r="H14" s="164"/>
      <c r="I14" s="164">
        <v>0</v>
      </c>
      <c r="J14" s="18">
        <v>0</v>
      </c>
      <c r="K14" s="18">
        <v>0</v>
      </c>
      <c r="L14" s="196">
        <v>0</v>
      </c>
      <c r="M14" s="196">
        <v>0</v>
      </c>
      <c r="N14" s="298">
        <v>0</v>
      </c>
      <c r="O14" s="298">
        <v>0</v>
      </c>
      <c r="P14" s="298">
        <v>134178.73524000001</v>
      </c>
      <c r="Q14" s="302">
        <v>142035.80471</v>
      </c>
      <c r="R14" s="302">
        <v>155023.45464000001</v>
      </c>
      <c r="S14" s="298">
        <v>346323.80248999997</v>
      </c>
      <c r="T14" s="298">
        <v>315720.89263999998</v>
      </c>
      <c r="U14" s="298">
        <v>263597.37095000001</v>
      </c>
    </row>
    <row r="15" spans="1:21">
      <c r="A15" s="35"/>
      <c r="B15" s="36"/>
      <c r="C15" s="30"/>
      <c r="D15" s="31"/>
      <c r="E15" s="30"/>
      <c r="F15" s="30"/>
      <c r="G15" s="149"/>
      <c r="H15" s="37"/>
      <c r="I15" s="156"/>
      <c r="J15" s="37"/>
      <c r="K15" s="37"/>
      <c r="L15" s="200"/>
      <c r="M15" s="200"/>
      <c r="N15" s="305"/>
      <c r="O15" s="305"/>
      <c r="P15" s="305"/>
      <c r="Q15" s="308"/>
      <c r="R15" s="308"/>
      <c r="S15" s="305"/>
      <c r="T15" s="305"/>
      <c r="U15" s="305"/>
    </row>
    <row r="16" spans="1:21">
      <c r="A16" s="11">
        <v>12</v>
      </c>
      <c r="B16" s="38" t="s">
        <v>16</v>
      </c>
      <c r="C16" s="13">
        <v>0</v>
      </c>
      <c r="D16" s="13">
        <v>0</v>
      </c>
      <c r="E16" s="13">
        <v>15248</v>
      </c>
      <c r="F16" s="13">
        <v>20897.952000000001</v>
      </c>
      <c r="G16" s="13">
        <v>29891.855</v>
      </c>
      <c r="H16" s="13">
        <f>30894069/1000</f>
        <v>30894.069</v>
      </c>
      <c r="I16" s="13">
        <f>ROUND(29513577/1000,0)</f>
        <v>29514</v>
      </c>
      <c r="J16" s="13">
        <f>30144377/1000</f>
        <v>30144.377</v>
      </c>
      <c r="K16" s="13">
        <v>0</v>
      </c>
      <c r="L16" s="198">
        <v>0</v>
      </c>
      <c r="M16" s="198">
        <v>374813.74400000001</v>
      </c>
      <c r="N16" s="313">
        <v>346286.74400000001</v>
      </c>
      <c r="O16" s="313">
        <v>316749.74400000001</v>
      </c>
      <c r="P16" s="313">
        <v>20794.874619999999</v>
      </c>
      <c r="Q16" s="309">
        <v>0</v>
      </c>
      <c r="R16" s="309">
        <v>0</v>
      </c>
      <c r="S16" s="388">
        <v>0</v>
      </c>
      <c r="T16" s="388">
        <v>0</v>
      </c>
      <c r="U16" s="388">
        <v>0</v>
      </c>
    </row>
    <row r="17" spans="1:21">
      <c r="A17" s="39"/>
      <c r="B17" s="40"/>
      <c r="C17" s="16"/>
      <c r="D17" s="17"/>
      <c r="E17" s="16"/>
      <c r="F17" s="16"/>
      <c r="G17" s="91"/>
      <c r="H17" s="18"/>
      <c r="I17" s="18"/>
      <c r="J17" s="18"/>
      <c r="K17" s="18"/>
      <c r="L17" s="196"/>
      <c r="M17" s="196"/>
      <c r="N17" s="298"/>
      <c r="O17" s="298"/>
      <c r="P17" s="298"/>
      <c r="Q17" s="311"/>
      <c r="R17" s="311"/>
      <c r="S17" s="298"/>
      <c r="T17" s="298"/>
      <c r="U17" s="298"/>
    </row>
    <row r="18" spans="1:21">
      <c r="A18" s="11">
        <v>13</v>
      </c>
      <c r="B18" s="38" t="s">
        <v>17</v>
      </c>
      <c r="C18" s="13">
        <v>395286</v>
      </c>
      <c r="D18" s="13">
        <v>391290</v>
      </c>
      <c r="E18" s="13">
        <v>477822</v>
      </c>
      <c r="F18" s="13">
        <v>381072.24400000001</v>
      </c>
      <c r="G18" s="13">
        <v>413617.91</v>
      </c>
      <c r="H18" s="13">
        <f>412929680/1000</f>
        <v>412929.68</v>
      </c>
      <c r="I18" s="13">
        <v>0</v>
      </c>
      <c r="J18" s="13">
        <v>0</v>
      </c>
      <c r="K18" s="13">
        <v>0</v>
      </c>
      <c r="L18" s="198">
        <v>0</v>
      </c>
      <c r="M18" s="198">
        <v>0</v>
      </c>
      <c r="N18" s="313">
        <v>0</v>
      </c>
      <c r="O18" s="313">
        <v>0</v>
      </c>
      <c r="P18" s="313">
        <v>0</v>
      </c>
      <c r="Q18" s="309">
        <v>0</v>
      </c>
      <c r="R18" s="309">
        <v>0</v>
      </c>
      <c r="S18" s="388">
        <v>0</v>
      </c>
      <c r="T18" s="388">
        <v>0</v>
      </c>
      <c r="U18" s="388">
        <v>0</v>
      </c>
    </row>
    <row r="19" spans="1:21">
      <c r="A19" s="41"/>
      <c r="B19" s="42"/>
      <c r="C19" s="22"/>
      <c r="D19" s="23"/>
      <c r="E19" s="22"/>
      <c r="F19" s="22"/>
      <c r="G19" s="56"/>
      <c r="H19" s="18"/>
      <c r="I19" s="18"/>
      <c r="J19" s="18"/>
      <c r="K19" s="18"/>
      <c r="L19" s="196"/>
      <c r="M19" s="196"/>
      <c r="N19" s="298"/>
      <c r="O19" s="298"/>
      <c r="P19" s="298"/>
      <c r="Q19" s="311"/>
      <c r="R19" s="311"/>
      <c r="S19" s="298"/>
      <c r="T19" s="298"/>
      <c r="U19" s="298"/>
    </row>
    <row r="20" spans="1:21">
      <c r="A20" s="43"/>
      <c r="B20" s="36"/>
      <c r="C20" s="30"/>
      <c r="D20" s="31"/>
      <c r="E20" s="30"/>
      <c r="F20" s="30"/>
      <c r="G20" s="150"/>
      <c r="H20" s="37"/>
      <c r="I20" s="156"/>
      <c r="J20" s="37"/>
      <c r="K20" s="37"/>
      <c r="L20" s="200"/>
      <c r="M20" s="200"/>
      <c r="N20" s="305"/>
      <c r="O20" s="305"/>
      <c r="P20" s="305"/>
      <c r="Q20" s="308"/>
      <c r="R20" s="308"/>
      <c r="S20" s="305"/>
      <c r="T20" s="305"/>
      <c r="U20" s="305"/>
    </row>
    <row r="21" spans="1:21">
      <c r="A21" s="11">
        <v>2</v>
      </c>
      <c r="B21" s="38" t="s">
        <v>18</v>
      </c>
      <c r="C21" s="13">
        <f t="shared" ref="C21:H21" si="12">C23+C28+C30+C32+C34</f>
        <v>5801063</v>
      </c>
      <c r="D21" s="13">
        <f t="shared" si="12"/>
        <v>5848818</v>
      </c>
      <c r="E21" s="13">
        <f t="shared" si="12"/>
        <v>5823924</v>
      </c>
      <c r="F21" s="13">
        <f t="shared" si="12"/>
        <v>5361831.7100000018</v>
      </c>
      <c r="G21" s="13">
        <f t="shared" si="12"/>
        <v>5392167.6490000011</v>
      </c>
      <c r="H21" s="13">
        <f t="shared" si="12"/>
        <v>5418913</v>
      </c>
      <c r="I21" s="13">
        <f>I23+I28+I30+I32+I34</f>
        <v>5347314</v>
      </c>
      <c r="J21" s="13">
        <f>5812914519/1000</f>
        <v>5812914.5190000003</v>
      </c>
      <c r="K21" s="13">
        <f t="shared" ref="K21:Q21" si="13">K23+K28+K30+K32+K34</f>
        <v>5217522</v>
      </c>
      <c r="L21" s="198">
        <f t="shared" si="13"/>
        <v>5366787</v>
      </c>
      <c r="M21" s="198">
        <f t="shared" si="13"/>
        <v>6120910.0744700003</v>
      </c>
      <c r="N21" s="198">
        <f t="shared" si="13"/>
        <v>6381841.8890000004</v>
      </c>
      <c r="O21" s="198">
        <f t="shared" si="13"/>
        <v>6690610.8039999995</v>
      </c>
      <c r="P21" s="198">
        <f t="shared" si="13"/>
        <v>10538821.407019999</v>
      </c>
      <c r="Q21" s="13">
        <f t="shared" si="13"/>
        <v>10947782.109610001</v>
      </c>
      <c r="R21" s="13">
        <f t="shared" ref="R21:S21" si="14">R23+R28+R30+R32+R34</f>
        <v>11266197.06837</v>
      </c>
      <c r="S21" s="348">
        <f t="shared" si="14"/>
        <v>11358632.594830001</v>
      </c>
      <c r="T21" s="348">
        <f t="shared" ref="T21" si="15">T23+T28+T30+T32+T34</f>
        <v>11620702.257539999</v>
      </c>
      <c r="U21" s="348">
        <f t="shared" ref="U21" si="16">U23+U28+U30+U32+U34</f>
        <v>11523129.706149999</v>
      </c>
    </row>
    <row r="22" spans="1:21">
      <c r="A22" s="44"/>
      <c r="B22" s="45"/>
      <c r="C22" s="16"/>
      <c r="D22" s="17"/>
      <c r="E22" s="16"/>
      <c r="F22" s="16"/>
      <c r="G22" s="56"/>
      <c r="H22" s="18"/>
      <c r="I22" s="18"/>
      <c r="J22" s="18"/>
      <c r="K22" s="18"/>
      <c r="L22" s="196"/>
      <c r="M22" s="196"/>
      <c r="N22" s="196"/>
      <c r="O22" s="196"/>
      <c r="P22" s="196"/>
      <c r="Q22" s="18"/>
      <c r="R22" s="18"/>
      <c r="S22" s="298"/>
      <c r="T22" s="298"/>
      <c r="U22" s="298"/>
    </row>
    <row r="23" spans="1:21">
      <c r="A23" s="46">
        <v>20</v>
      </c>
      <c r="B23" s="47" t="s">
        <v>19</v>
      </c>
      <c r="C23" s="13">
        <f t="shared" ref="C23:H23" si="17">C24+C25+C26</f>
        <v>4951104</v>
      </c>
      <c r="D23" s="13">
        <f t="shared" si="17"/>
        <v>4924422</v>
      </c>
      <c r="E23" s="13">
        <f t="shared" si="17"/>
        <v>5213776</v>
      </c>
      <c r="F23" s="13">
        <f t="shared" si="17"/>
        <v>4869448.040000001</v>
      </c>
      <c r="G23" s="13">
        <f t="shared" si="17"/>
        <v>4893118.1010000007</v>
      </c>
      <c r="H23" s="13">
        <f t="shared" si="17"/>
        <v>4725001</v>
      </c>
      <c r="I23" s="13">
        <f t="shared" ref="I23:O23" si="18">I24+I25+I26</f>
        <v>4128146</v>
      </c>
      <c r="J23" s="13">
        <f t="shared" si="18"/>
        <v>3915605.3449999997</v>
      </c>
      <c r="K23" s="13">
        <f t="shared" si="18"/>
        <v>4061418</v>
      </c>
      <c r="L23" s="198">
        <f t="shared" si="18"/>
        <v>3909373</v>
      </c>
      <c r="M23" s="198">
        <f t="shared" si="18"/>
        <v>4502351.8109999998</v>
      </c>
      <c r="N23" s="198">
        <f t="shared" si="18"/>
        <v>4390935.7530000005</v>
      </c>
      <c r="O23" s="198">
        <f t="shared" si="18"/>
        <v>4509788.2949999999</v>
      </c>
      <c r="P23" s="198">
        <f t="shared" ref="P23:Q23" si="19">P24+P25+P26</f>
        <v>6519875.0647700001</v>
      </c>
      <c r="Q23" s="13">
        <f t="shared" si="19"/>
        <v>6740412.24015</v>
      </c>
      <c r="R23" s="13">
        <f t="shared" ref="R23:S23" si="20">R24+R25+R26</f>
        <v>6617029.5571999997</v>
      </c>
      <c r="S23" s="348">
        <f t="shared" si="20"/>
        <v>7100879.9654999999</v>
      </c>
      <c r="T23" s="348">
        <f t="shared" ref="T23" si="21">T24+T25+T26</f>
        <v>7086419.0054299999</v>
      </c>
      <c r="U23" s="348">
        <f t="shared" ref="U23" si="22">U24+U25+U26</f>
        <v>6907242.8491500001</v>
      </c>
    </row>
    <row r="24" spans="1:21">
      <c r="A24" s="48" t="s">
        <v>20</v>
      </c>
      <c r="B24" s="49" t="s">
        <v>21</v>
      </c>
      <c r="C24" s="164">
        <f>422287+200</f>
        <v>422487</v>
      </c>
      <c r="D24" s="164">
        <f>472818+220616-1</f>
        <v>693433</v>
      </c>
      <c r="E24" s="164">
        <f>467199+476885</f>
        <v>944084</v>
      </c>
      <c r="F24" s="164">
        <f>590574.93+103552.869</f>
        <v>694127.79900000012</v>
      </c>
      <c r="G24" s="164">
        <f>932168.724+166462.592</f>
        <v>1098631.3160000001</v>
      </c>
      <c r="H24" s="164">
        <v>900725</v>
      </c>
      <c r="I24" s="164">
        <f>ROUND((812891+47502),0)</f>
        <v>860393</v>
      </c>
      <c r="J24" s="196">
        <f>(928490693+67142838)/1000</f>
        <v>995633.53099999996</v>
      </c>
      <c r="K24" s="196">
        <f>ROUND((938002806+171066624)/1000,0)</f>
        <v>1109069</v>
      </c>
      <c r="L24" s="196">
        <f>ROUND((1346605212+3693571)/1000,0)</f>
        <v>1350299</v>
      </c>
      <c r="M24" s="196">
        <v>1307258</v>
      </c>
      <c r="N24" s="298">
        <v>1119109.5060000001</v>
      </c>
      <c r="O24" s="298">
        <f>1031251.454+134906.418</f>
        <v>1166157.872</v>
      </c>
      <c r="P24" s="298">
        <v>3747341.7097100001</v>
      </c>
      <c r="Q24" s="302">
        <v>4151226.9556</v>
      </c>
      <c r="R24" s="302">
        <v>3789492.2521899999</v>
      </c>
      <c r="S24" s="298">
        <v>3226308.8993600002</v>
      </c>
      <c r="T24" s="298">
        <v>3883040.2806099998</v>
      </c>
      <c r="U24" s="298">
        <v>3280521.7731599999</v>
      </c>
    </row>
    <row r="25" spans="1:21">
      <c r="A25" s="50">
        <v>202</v>
      </c>
      <c r="B25" s="51" t="s">
        <v>22</v>
      </c>
      <c r="C25" s="164">
        <v>3887176</v>
      </c>
      <c r="D25" s="164">
        <v>3468134</v>
      </c>
      <c r="E25" s="164">
        <v>3515000</v>
      </c>
      <c r="F25" s="164">
        <v>3565000</v>
      </c>
      <c r="G25" s="164">
        <v>3416893.8590000002</v>
      </c>
      <c r="H25" s="164">
        <v>3451879</v>
      </c>
      <c r="I25" s="164">
        <f>ROUND(2912127463/1000,)</f>
        <v>2912127</v>
      </c>
      <c r="J25" s="196">
        <f>2631265000/1000</f>
        <v>2631265</v>
      </c>
      <c r="K25" s="196">
        <f>ROUND(2761000000/1000,0)</f>
        <v>2761000</v>
      </c>
      <c r="L25" s="199">
        <v>2321000</v>
      </c>
      <c r="M25" s="199">
        <v>3001000</v>
      </c>
      <c r="N25" s="300">
        <v>3061000</v>
      </c>
      <c r="O25" s="300">
        <v>3149000</v>
      </c>
      <c r="P25" s="300">
        <v>2558000</v>
      </c>
      <c r="Q25" s="302">
        <v>2388585.2879300001</v>
      </c>
      <c r="R25" s="302">
        <v>2583166.17368</v>
      </c>
      <c r="S25" s="300">
        <v>3618067.91286</v>
      </c>
      <c r="T25" s="300">
        <v>2969620.6945799999</v>
      </c>
      <c r="U25" s="300">
        <v>3377636.4820300001</v>
      </c>
    </row>
    <row r="26" spans="1:21">
      <c r="A26" s="50">
        <v>205</v>
      </c>
      <c r="B26" s="52" t="s">
        <v>23</v>
      </c>
      <c r="C26" s="164">
        <v>641441</v>
      </c>
      <c r="D26" s="164">
        <v>762855</v>
      </c>
      <c r="E26" s="164">
        <v>754692</v>
      </c>
      <c r="F26" s="164">
        <v>610320.24100000004</v>
      </c>
      <c r="G26" s="164">
        <v>377592.92599999998</v>
      </c>
      <c r="H26" s="164">
        <v>372397</v>
      </c>
      <c r="I26" s="164">
        <f>ROUND(355626146/1000,0)</f>
        <v>355626</v>
      </c>
      <c r="J26" s="196">
        <f>288706814/1000</f>
        <v>288706.81400000001</v>
      </c>
      <c r="K26" s="196">
        <f>ROUND(191349215/1000,0)</f>
        <v>191349</v>
      </c>
      <c r="L26" s="196">
        <v>238074</v>
      </c>
      <c r="M26" s="196">
        <v>194093.81099999999</v>
      </c>
      <c r="N26" s="298">
        <v>210826.247</v>
      </c>
      <c r="O26" s="298">
        <v>194630.42300000001</v>
      </c>
      <c r="P26" s="298">
        <v>214533.35506</v>
      </c>
      <c r="Q26" s="302">
        <v>200599.99661999999</v>
      </c>
      <c r="R26" s="302">
        <v>244371.13133</v>
      </c>
      <c r="S26" s="298">
        <v>256503.15328</v>
      </c>
      <c r="T26" s="298">
        <v>233758.03023999999</v>
      </c>
      <c r="U26" s="298">
        <v>249084.59396</v>
      </c>
    </row>
    <row r="27" spans="1:21">
      <c r="A27" s="35"/>
      <c r="B27" s="36"/>
      <c r="C27" s="30"/>
      <c r="D27" s="31"/>
      <c r="E27" s="30"/>
      <c r="F27" s="30"/>
      <c r="G27" s="150"/>
      <c r="H27" s="37"/>
      <c r="I27" s="156"/>
      <c r="J27" s="37"/>
      <c r="K27" s="37"/>
      <c r="L27" s="200"/>
      <c r="M27" s="200"/>
      <c r="N27" s="305"/>
      <c r="O27" s="305"/>
      <c r="P27" s="305"/>
      <c r="Q27" s="308"/>
      <c r="R27" s="308"/>
      <c r="S27" s="305"/>
      <c r="T27" s="305"/>
      <c r="U27" s="305"/>
    </row>
    <row r="28" spans="1:21">
      <c r="A28" s="11">
        <v>23</v>
      </c>
      <c r="B28" s="38" t="s">
        <v>24</v>
      </c>
      <c r="C28" s="13">
        <v>475936</v>
      </c>
      <c r="D28" s="13">
        <v>438479</v>
      </c>
      <c r="E28" s="13">
        <v>147872</v>
      </c>
      <c r="F28" s="13">
        <v>121429.264</v>
      </c>
      <c r="G28" s="13">
        <v>126146.014</v>
      </c>
      <c r="H28" s="13">
        <v>103415</v>
      </c>
      <c r="I28" s="13">
        <f>ROUND(121580740/1000,0)</f>
        <v>121581</v>
      </c>
      <c r="J28" s="13">
        <f>177717219/1000</f>
        <v>177717.21900000001</v>
      </c>
      <c r="K28" s="13">
        <f>ROUND(125892325/1000,0)</f>
        <v>125892</v>
      </c>
      <c r="L28" s="198">
        <v>154762</v>
      </c>
      <c r="M28" s="198">
        <v>141442.33947000001</v>
      </c>
      <c r="N28" s="313">
        <v>148751.22099999999</v>
      </c>
      <c r="O28" s="313">
        <v>196536.46100000001</v>
      </c>
      <c r="P28" s="314"/>
      <c r="Q28" s="309"/>
      <c r="R28" s="309"/>
      <c r="S28" s="388"/>
      <c r="T28" s="388"/>
      <c r="U28" s="388"/>
    </row>
    <row r="29" spans="1:21">
      <c r="A29" s="53"/>
      <c r="B29" s="40"/>
      <c r="C29" s="16"/>
      <c r="D29" s="17"/>
      <c r="E29" s="16"/>
      <c r="F29" s="16"/>
      <c r="G29" s="148"/>
      <c r="H29" s="18"/>
      <c r="I29" s="18"/>
      <c r="J29" s="18"/>
      <c r="K29" s="18"/>
      <c r="L29" s="196"/>
      <c r="M29" s="196"/>
      <c r="N29" s="298"/>
      <c r="O29" s="298"/>
      <c r="P29" s="298"/>
      <c r="Q29" s="311"/>
      <c r="R29" s="311"/>
      <c r="S29" s="298"/>
      <c r="T29" s="298"/>
      <c r="U29" s="298"/>
    </row>
    <row r="30" spans="1:21">
      <c r="A30" s="11">
        <v>24</v>
      </c>
      <c r="B30" s="38" t="s">
        <v>25</v>
      </c>
      <c r="C30" s="13">
        <v>204640</v>
      </c>
      <c r="D30" s="13">
        <v>306376</v>
      </c>
      <c r="E30" s="13">
        <v>294869</v>
      </c>
      <c r="F30" s="13">
        <v>285074.20899999997</v>
      </c>
      <c r="G30" s="13">
        <v>284814.38400000002</v>
      </c>
      <c r="H30" s="13">
        <v>504780</v>
      </c>
      <c r="I30" s="13">
        <f>ROUND(576790142/1000,0)</f>
        <v>576790</v>
      </c>
      <c r="J30" s="13">
        <f>1653666788/1000</f>
        <v>1653666.7879999999</v>
      </c>
      <c r="K30" s="13">
        <f>ROUND(770549223/1000,0)</f>
        <v>770549</v>
      </c>
      <c r="L30" s="198">
        <v>786882</v>
      </c>
      <c r="M30" s="198">
        <v>221672.76699999999</v>
      </c>
      <c r="N30" s="313">
        <v>338207.435</v>
      </c>
      <c r="O30" s="313">
        <v>229034.027</v>
      </c>
      <c r="P30" s="313">
        <v>232854.14935000002</v>
      </c>
      <c r="Q30" s="309">
        <v>199917.36911</v>
      </c>
      <c r="R30" s="309">
        <v>212720.83555000002</v>
      </c>
      <c r="S30" s="388">
        <v>219996.45197999998</v>
      </c>
      <c r="T30" s="388">
        <v>261181.27592000001</v>
      </c>
      <c r="U30" s="388">
        <v>265414.16873999999</v>
      </c>
    </row>
    <row r="31" spans="1:21">
      <c r="A31" s="44"/>
      <c r="B31" s="45"/>
      <c r="C31" s="164"/>
      <c r="D31" s="17"/>
      <c r="E31" s="16"/>
      <c r="F31" s="16"/>
      <c r="G31" s="13"/>
      <c r="H31" s="18"/>
      <c r="I31" s="18"/>
      <c r="J31" s="18"/>
      <c r="K31" s="18"/>
      <c r="L31" s="196"/>
      <c r="M31" s="196"/>
      <c r="N31" s="298"/>
      <c r="O31" s="298"/>
      <c r="P31" s="298"/>
      <c r="Q31" s="311"/>
      <c r="R31" s="311"/>
      <c r="S31" s="298"/>
      <c r="T31" s="298"/>
      <c r="U31" s="298"/>
    </row>
    <row r="32" spans="1:21">
      <c r="A32" s="54">
        <v>28</v>
      </c>
      <c r="B32" s="47" t="s">
        <v>26</v>
      </c>
      <c r="C32" s="13">
        <v>169383</v>
      </c>
      <c r="D32" s="13">
        <v>178175</v>
      </c>
      <c r="E32" s="13">
        <v>165226</v>
      </c>
      <c r="F32" s="13">
        <v>82874.769</v>
      </c>
      <c r="G32" s="13">
        <v>83573.256999999998</v>
      </c>
      <c r="H32" s="13">
        <v>84393</v>
      </c>
      <c r="I32" s="13">
        <f>ROUND(77604308/1000,0)</f>
        <v>77604</v>
      </c>
      <c r="J32" s="13">
        <f>101582936/1000</f>
        <v>101582.936</v>
      </c>
      <c r="K32" s="13">
        <f>ROUND(145995707/1000,0)</f>
        <v>145996</v>
      </c>
      <c r="L32" s="198">
        <v>101135</v>
      </c>
      <c r="M32" s="198">
        <v>93893.608999999997</v>
      </c>
      <c r="N32" s="313">
        <v>87445.45</v>
      </c>
      <c r="O32" s="313">
        <v>98356.145000000004</v>
      </c>
      <c r="P32" s="313">
        <v>114546.57768</v>
      </c>
      <c r="Q32" s="309">
        <v>114361.85969</v>
      </c>
      <c r="R32" s="309">
        <v>110909.00476</v>
      </c>
      <c r="S32" s="388">
        <v>112813.57827</v>
      </c>
      <c r="T32" s="388">
        <v>122896.76474</v>
      </c>
      <c r="U32" s="388">
        <v>125641.80512</v>
      </c>
    </row>
    <row r="33" spans="1:21">
      <c r="A33" s="53"/>
      <c r="B33" s="40"/>
      <c r="C33" s="16"/>
      <c r="D33" s="17"/>
      <c r="E33" s="16"/>
      <c r="F33" s="16"/>
      <c r="G33" s="13"/>
      <c r="H33" s="18"/>
      <c r="I33" s="18"/>
      <c r="J33" s="18"/>
      <c r="K33" s="18"/>
      <c r="L33" s="196"/>
      <c r="M33" s="196"/>
      <c r="N33" s="298"/>
      <c r="O33" s="298"/>
      <c r="P33" s="298"/>
      <c r="Q33" s="311"/>
      <c r="R33" s="311"/>
      <c r="S33" s="298"/>
      <c r="T33" s="298"/>
      <c r="U33" s="298"/>
    </row>
    <row r="34" spans="1:21">
      <c r="A34" s="11">
        <v>29</v>
      </c>
      <c r="B34" s="38" t="s">
        <v>27</v>
      </c>
      <c r="C34" s="13">
        <v>0</v>
      </c>
      <c r="D34" s="13">
        <v>1366</v>
      </c>
      <c r="E34" s="13">
        <v>2181</v>
      </c>
      <c r="F34" s="13">
        <v>3005.4279999999999</v>
      </c>
      <c r="G34" s="13">
        <v>4515.893</v>
      </c>
      <c r="H34" s="13">
        <v>1324</v>
      </c>
      <c r="I34" s="13">
        <f>ROUND(443192665/1000,0)</f>
        <v>443193</v>
      </c>
      <c r="J34" s="13">
        <f>-35657769/1000</f>
        <v>-35657.769</v>
      </c>
      <c r="K34" s="13">
        <f>ROUND(113666999/1000,0)</f>
        <v>113667</v>
      </c>
      <c r="L34" s="198">
        <v>414635</v>
      </c>
      <c r="M34" s="198">
        <v>1161549.548</v>
      </c>
      <c r="N34" s="313">
        <v>1416502.03</v>
      </c>
      <c r="O34" s="313">
        <v>1656895.8759999999</v>
      </c>
      <c r="P34" s="313">
        <v>3671545.61522</v>
      </c>
      <c r="Q34" s="309">
        <v>3893090.64066</v>
      </c>
      <c r="R34" s="309">
        <v>4325537.67086</v>
      </c>
      <c r="S34" s="388">
        <v>3924942.5990800001</v>
      </c>
      <c r="T34" s="388">
        <v>4150205.2114499998</v>
      </c>
      <c r="U34" s="388">
        <v>4224830.8831399996</v>
      </c>
    </row>
    <row r="35" spans="1:21">
      <c r="A35" s="41"/>
      <c r="B35" s="42"/>
      <c r="C35" s="56"/>
      <c r="D35" s="57"/>
      <c r="E35" s="56"/>
      <c r="F35" s="56"/>
      <c r="G35" s="59"/>
      <c r="H35" s="59"/>
      <c r="I35" s="59"/>
      <c r="J35" s="165"/>
      <c r="K35" s="165"/>
      <c r="L35" s="167"/>
      <c r="M35" s="167"/>
      <c r="N35" s="167"/>
      <c r="O35" s="167"/>
      <c r="P35" s="167"/>
      <c r="Q35" s="311"/>
      <c r="R35" s="311"/>
      <c r="S35" s="360"/>
      <c r="T35" s="360"/>
      <c r="U35" s="360"/>
    </row>
    <row r="36" spans="1:21">
      <c r="A36" s="170"/>
      <c r="B36" s="60"/>
      <c r="C36" s="171"/>
      <c r="D36" s="172"/>
      <c r="E36" s="171"/>
      <c r="F36" s="173"/>
      <c r="G36" s="174"/>
      <c r="H36" s="174"/>
      <c r="I36" s="174"/>
      <c r="J36" s="5"/>
      <c r="K36" s="5"/>
      <c r="L36" s="225"/>
      <c r="M36" s="225"/>
      <c r="N36" s="225"/>
      <c r="O36" s="225"/>
      <c r="P36" s="225"/>
      <c r="Q36" s="341"/>
      <c r="R36" s="341"/>
      <c r="S36" s="362"/>
      <c r="T36" s="362"/>
      <c r="U36" s="362"/>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147" customWidth="1"/>
    <col min="2" max="2" width="60.85546875" style="147" bestFit="1" customWidth="1"/>
    <col min="3" max="8" width="10.7109375" style="92" bestFit="1" customWidth="1"/>
    <col min="9" max="9" width="12.28515625" style="158" bestFit="1" customWidth="1"/>
    <col min="10" max="17" width="11.42578125" style="92"/>
    <col min="18" max="21" width="15.42578125" style="78" bestFit="1" customWidth="1"/>
    <col min="22" max="16384" width="11.42578125" style="9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1" customFormat="1">
      <c r="A2" s="352" t="s">
        <v>52</v>
      </c>
      <c r="B2" s="8" t="s">
        <v>75</v>
      </c>
      <c r="C2" s="79"/>
      <c r="D2" s="79"/>
      <c r="E2" s="79"/>
      <c r="F2" s="79"/>
      <c r="G2" s="79"/>
      <c r="H2" s="79"/>
      <c r="I2" s="79"/>
      <c r="J2" s="349"/>
      <c r="K2" s="349"/>
      <c r="L2" s="349"/>
      <c r="M2" s="349"/>
      <c r="N2" s="349"/>
      <c r="O2" s="349" t="s">
        <v>103</v>
      </c>
      <c r="P2" s="349" t="s">
        <v>103</v>
      </c>
      <c r="Q2" s="350" t="s">
        <v>103</v>
      </c>
      <c r="R2" s="350" t="s">
        <v>103</v>
      </c>
      <c r="S2" s="350" t="s">
        <v>103</v>
      </c>
      <c r="T2" s="350" t="s">
        <v>103</v>
      </c>
      <c r="U2" s="350" t="s">
        <v>103</v>
      </c>
    </row>
    <row r="3" spans="1:21">
      <c r="A3" s="186"/>
      <c r="B3" s="9"/>
      <c r="C3" s="9" t="s">
        <v>106</v>
      </c>
      <c r="D3" s="9" t="s">
        <v>106</v>
      </c>
      <c r="E3" s="9" t="s">
        <v>106</v>
      </c>
      <c r="F3" s="9" t="s">
        <v>106</v>
      </c>
      <c r="G3" s="9" t="s">
        <v>106</v>
      </c>
      <c r="H3" s="9" t="s">
        <v>106</v>
      </c>
      <c r="I3" s="9" t="s">
        <v>106</v>
      </c>
      <c r="J3" s="9" t="s">
        <v>106</v>
      </c>
      <c r="K3" s="9" t="s">
        <v>106</v>
      </c>
      <c r="L3" s="9" t="s">
        <v>106</v>
      </c>
      <c r="M3" s="9" t="s">
        <v>106</v>
      </c>
      <c r="N3" s="9" t="s">
        <v>106</v>
      </c>
      <c r="O3" s="9" t="s">
        <v>4</v>
      </c>
      <c r="P3" s="9" t="s">
        <v>4</v>
      </c>
      <c r="Q3" s="343" t="s">
        <v>4</v>
      </c>
      <c r="R3" s="343" t="s">
        <v>4</v>
      </c>
      <c r="S3" s="343" t="s">
        <v>4</v>
      </c>
      <c r="T3" s="343" t="s">
        <v>4</v>
      </c>
      <c r="U3" s="343" t="s">
        <v>4</v>
      </c>
    </row>
    <row r="4" spans="1:21">
      <c r="A4" s="11">
        <v>1</v>
      </c>
      <c r="B4" s="12" t="s">
        <v>32</v>
      </c>
      <c r="C4" s="87">
        <f t="shared" ref="C4:H4" si="0">C6+C11+C16+C18</f>
        <v>1366008</v>
      </c>
      <c r="D4" s="87">
        <f t="shared" si="0"/>
        <v>1465030</v>
      </c>
      <c r="E4" s="87">
        <f t="shared" si="0"/>
        <v>1394453</v>
      </c>
      <c r="F4" s="87">
        <f t="shared" si="0"/>
        <v>1379603</v>
      </c>
      <c r="G4" s="87">
        <f t="shared" si="0"/>
        <v>1342637</v>
      </c>
      <c r="H4" s="87">
        <f t="shared" si="0"/>
        <v>2098676</v>
      </c>
      <c r="I4" s="13">
        <f t="shared" ref="I4:O4" si="1">I6+I11+I16+I18</f>
        <v>2201131</v>
      </c>
      <c r="J4" s="13">
        <f t="shared" si="1"/>
        <v>2527832</v>
      </c>
      <c r="K4" s="13">
        <f t="shared" si="1"/>
        <v>2896072</v>
      </c>
      <c r="L4" s="198">
        <f t="shared" si="1"/>
        <v>2959038.7</v>
      </c>
      <c r="M4" s="198">
        <f t="shared" si="1"/>
        <v>3133197.6999999997</v>
      </c>
      <c r="N4" s="198">
        <f t="shared" si="1"/>
        <v>3294656.1628900003</v>
      </c>
      <c r="O4" s="198">
        <f t="shared" si="1"/>
        <v>3011739</v>
      </c>
      <c r="P4" s="198">
        <f t="shared" ref="P4:Q4" si="2">P6+P11+P16+P18</f>
        <v>2624006</v>
      </c>
      <c r="Q4" s="13">
        <f t="shared" si="2"/>
        <v>2671169</v>
      </c>
      <c r="R4" s="13">
        <f t="shared" ref="R4" si="3">R6+R11+R16+R18</f>
        <v>3047878</v>
      </c>
      <c r="S4" s="348">
        <f t="shared" ref="S4:T4" si="4">S6+S11+S16+S18</f>
        <v>3129145</v>
      </c>
      <c r="T4" s="348">
        <f t="shared" si="4"/>
        <v>3073659</v>
      </c>
      <c r="U4" s="348">
        <f t="shared" ref="U4" si="5">U6+U11+U16+U18</f>
        <v>3325460</v>
      </c>
    </row>
    <row r="5" spans="1:21">
      <c r="A5" s="14"/>
      <c r="B5" s="15"/>
      <c r="C5" s="16"/>
      <c r="D5" s="17"/>
      <c r="E5" s="16"/>
      <c r="F5" s="16"/>
      <c r="G5" s="149"/>
      <c r="H5" s="18"/>
      <c r="I5" s="18"/>
      <c r="J5" s="18"/>
      <c r="K5" s="18"/>
      <c r="L5" s="196"/>
      <c r="M5" s="196"/>
      <c r="N5" s="196"/>
      <c r="O5" s="196"/>
      <c r="P5" s="196"/>
      <c r="Q5" s="18"/>
      <c r="R5" s="18"/>
      <c r="S5" s="298"/>
      <c r="T5" s="298"/>
      <c r="U5" s="298"/>
    </row>
    <row r="6" spans="1:21">
      <c r="A6" s="19">
        <v>10</v>
      </c>
      <c r="B6" s="12" t="s">
        <v>33</v>
      </c>
      <c r="C6" s="13">
        <f t="shared" ref="C6:H6" si="6">C7+C8+C9</f>
        <v>551907</v>
      </c>
      <c r="D6" s="13">
        <f t="shared" si="6"/>
        <v>669494</v>
      </c>
      <c r="E6" s="13">
        <f t="shared" si="6"/>
        <v>609943</v>
      </c>
      <c r="F6" s="13">
        <f t="shared" si="6"/>
        <v>590233</v>
      </c>
      <c r="G6" s="13">
        <f t="shared" si="6"/>
        <v>549584</v>
      </c>
      <c r="H6" s="13">
        <f t="shared" si="6"/>
        <v>1374722</v>
      </c>
      <c r="I6" s="13">
        <f t="shared" ref="I6:N6" si="7">I7+I8+I9</f>
        <v>1503225</v>
      </c>
      <c r="J6" s="13">
        <f t="shared" si="7"/>
        <v>1675947</v>
      </c>
      <c r="K6" s="13">
        <f t="shared" si="7"/>
        <v>2022931</v>
      </c>
      <c r="L6" s="198">
        <f t="shared" si="7"/>
        <v>2122552.7000000002</v>
      </c>
      <c r="M6" s="198">
        <f t="shared" si="7"/>
        <v>2292294.1999999997</v>
      </c>
      <c r="N6" s="198">
        <f t="shared" si="7"/>
        <v>2381156.4628900001</v>
      </c>
      <c r="O6" s="198">
        <f t="shared" ref="O6:T6" si="8">O7+O8+O9</f>
        <v>2212674</v>
      </c>
      <c r="P6" s="198">
        <f t="shared" si="8"/>
        <v>1790566</v>
      </c>
      <c r="Q6" s="13">
        <f t="shared" si="8"/>
        <v>1826332</v>
      </c>
      <c r="R6" s="13">
        <f t="shared" si="8"/>
        <v>2189220</v>
      </c>
      <c r="S6" s="348">
        <f t="shared" si="8"/>
        <v>2268741</v>
      </c>
      <c r="T6" s="348">
        <f t="shared" si="8"/>
        <v>2200924</v>
      </c>
      <c r="U6" s="348">
        <f t="shared" ref="U6" si="9">U7+U8+U9</f>
        <v>2402724</v>
      </c>
    </row>
    <row r="7" spans="1:21">
      <c r="A7" s="20" t="s">
        <v>7</v>
      </c>
      <c r="B7" s="21" t="s">
        <v>34</v>
      </c>
      <c r="C7" s="164">
        <v>386431</v>
      </c>
      <c r="D7" s="164">
        <v>397521</v>
      </c>
      <c r="E7" s="164">
        <v>387799</v>
      </c>
      <c r="F7" s="164">
        <v>532617</v>
      </c>
      <c r="G7" s="164">
        <v>426442</v>
      </c>
      <c r="H7" s="164">
        <v>549705</v>
      </c>
      <c r="I7" s="164">
        <v>600975</v>
      </c>
      <c r="J7" s="196">
        <v>637134</v>
      </c>
      <c r="K7" s="196">
        <v>923967</v>
      </c>
      <c r="L7" s="196">
        <f>191407.6+1817657.7-1095000</f>
        <v>914065.3</v>
      </c>
      <c r="M7" s="196">
        <f>270684.4+1890553.5-6518.6-1045000</f>
        <v>1109719.2999999998</v>
      </c>
      <c r="N7" s="298">
        <v>1252114.66289</v>
      </c>
      <c r="O7" s="298">
        <v>1118527</v>
      </c>
      <c r="P7" s="298">
        <v>976361</v>
      </c>
      <c r="Q7" s="302">
        <v>1142206</v>
      </c>
      <c r="R7" s="302">
        <v>1331312</v>
      </c>
      <c r="S7" s="298">
        <v>1262564</v>
      </c>
      <c r="T7" s="298">
        <v>1201165</v>
      </c>
      <c r="U7" s="298">
        <v>1372857</v>
      </c>
    </row>
    <row r="8" spans="1:21">
      <c r="A8" s="25">
        <v>102</v>
      </c>
      <c r="B8" s="26" t="s">
        <v>35</v>
      </c>
      <c r="C8" s="164">
        <v>110000</v>
      </c>
      <c r="D8" s="164">
        <v>227000</v>
      </c>
      <c r="E8" s="164">
        <v>175000</v>
      </c>
      <c r="F8" s="164">
        <v>0</v>
      </c>
      <c r="G8" s="164">
        <v>90000</v>
      </c>
      <c r="H8" s="164">
        <v>770000</v>
      </c>
      <c r="I8" s="164">
        <v>830000</v>
      </c>
      <c r="J8" s="199">
        <v>960000</v>
      </c>
      <c r="K8" s="199">
        <v>1035000</v>
      </c>
      <c r="L8" s="199">
        <f>57216.4+1095000</f>
        <v>1152216.3999999999</v>
      </c>
      <c r="M8" s="199">
        <f>49521.3+6518.6+1045000</f>
        <v>1101039.8999999999</v>
      </c>
      <c r="N8" s="300">
        <f>922869.3+11920.6</f>
        <v>934789.9</v>
      </c>
      <c r="O8" s="300">
        <v>919409</v>
      </c>
      <c r="P8" s="300">
        <v>654668</v>
      </c>
      <c r="Q8" s="302">
        <v>557033</v>
      </c>
      <c r="R8" s="302">
        <v>721921</v>
      </c>
      <c r="S8" s="300">
        <v>894208</v>
      </c>
      <c r="T8" s="300">
        <v>865930</v>
      </c>
      <c r="U8" s="300">
        <v>880744</v>
      </c>
    </row>
    <row r="9" spans="1:21">
      <c r="A9" s="25">
        <v>103</v>
      </c>
      <c r="B9" s="26" t="s">
        <v>36</v>
      </c>
      <c r="C9" s="164">
        <v>55476</v>
      </c>
      <c r="D9" s="164">
        <v>44973</v>
      </c>
      <c r="E9" s="164">
        <v>47144</v>
      </c>
      <c r="F9" s="164">
        <v>57616</v>
      </c>
      <c r="G9" s="164">
        <v>33142</v>
      </c>
      <c r="H9" s="164">
        <v>55017</v>
      </c>
      <c r="I9" s="164">
        <v>72250</v>
      </c>
      <c r="J9" s="196">
        <v>78813</v>
      </c>
      <c r="K9" s="196">
        <v>63964</v>
      </c>
      <c r="L9" s="196">
        <v>56271</v>
      </c>
      <c r="M9" s="196">
        <v>81535</v>
      </c>
      <c r="N9" s="298">
        <v>194251.9</v>
      </c>
      <c r="O9" s="298">
        <v>174738</v>
      </c>
      <c r="P9" s="298">
        <v>159537</v>
      </c>
      <c r="Q9" s="302">
        <v>127093</v>
      </c>
      <c r="R9" s="302">
        <v>135987</v>
      </c>
      <c r="S9" s="298">
        <v>111969</v>
      </c>
      <c r="T9" s="298">
        <v>133829</v>
      </c>
      <c r="U9" s="298">
        <v>149123</v>
      </c>
    </row>
    <row r="10" spans="1:21">
      <c r="A10" s="28"/>
      <c r="B10" s="29"/>
      <c r="C10" s="30"/>
      <c r="D10" s="31"/>
      <c r="E10" s="30"/>
      <c r="F10" s="30"/>
      <c r="G10" s="149"/>
      <c r="H10" s="18"/>
      <c r="I10" s="18"/>
      <c r="J10" s="18"/>
      <c r="K10" s="18"/>
      <c r="L10" s="196"/>
      <c r="M10" s="196"/>
      <c r="N10" s="196"/>
      <c r="O10" s="196"/>
      <c r="P10" s="196"/>
      <c r="Q10" s="18"/>
      <c r="R10" s="18"/>
      <c r="S10" s="298"/>
      <c r="T10" s="298"/>
      <c r="U10" s="298"/>
    </row>
    <row r="11" spans="1:21">
      <c r="A11" s="19">
        <v>11</v>
      </c>
      <c r="B11" s="12" t="s">
        <v>37</v>
      </c>
      <c r="C11" s="13">
        <f t="shared" ref="C11:H11" si="10">C12+C13+C14</f>
        <v>768402</v>
      </c>
      <c r="D11" s="13">
        <f t="shared" si="10"/>
        <v>753396</v>
      </c>
      <c r="E11" s="13">
        <f t="shared" si="10"/>
        <v>739751</v>
      </c>
      <c r="F11" s="13">
        <f t="shared" si="10"/>
        <v>739708</v>
      </c>
      <c r="G11" s="13">
        <f t="shared" si="10"/>
        <v>729834</v>
      </c>
      <c r="H11" s="13">
        <f t="shared" si="10"/>
        <v>662467</v>
      </c>
      <c r="I11" s="13">
        <f t="shared" ref="I11:N11" si="11">I12+I13+I14</f>
        <v>636473</v>
      </c>
      <c r="J11" s="13">
        <f t="shared" si="11"/>
        <v>787858</v>
      </c>
      <c r="K11" s="13">
        <f t="shared" si="11"/>
        <v>814453</v>
      </c>
      <c r="L11" s="198">
        <f t="shared" si="11"/>
        <v>836486</v>
      </c>
      <c r="M11" s="198">
        <f t="shared" si="11"/>
        <v>840903.5</v>
      </c>
      <c r="N11" s="198">
        <f t="shared" si="11"/>
        <v>913499.70000000007</v>
      </c>
      <c r="O11" s="198">
        <f>O12+O13+O14</f>
        <v>799065</v>
      </c>
      <c r="P11" s="198">
        <f>P12+P13+P14</f>
        <v>833440</v>
      </c>
      <c r="Q11" s="13">
        <f t="shared" ref="Q11" si="12">Q12+Q13+Q14</f>
        <v>844837</v>
      </c>
      <c r="R11" s="13">
        <f t="shared" ref="R11" si="13">R12+R13+R14</f>
        <v>858658</v>
      </c>
      <c r="S11" s="348">
        <f t="shared" ref="S11:T11" si="14">S12+S13+S14</f>
        <v>860404</v>
      </c>
      <c r="T11" s="348">
        <f t="shared" si="14"/>
        <v>872735</v>
      </c>
      <c r="U11" s="348">
        <f t="shared" ref="U11" si="15">U12+U13+U14</f>
        <v>922736</v>
      </c>
    </row>
    <row r="12" spans="1:21">
      <c r="A12" s="32">
        <v>114</v>
      </c>
      <c r="B12" s="21" t="s">
        <v>38</v>
      </c>
      <c r="C12" s="164">
        <v>535962</v>
      </c>
      <c r="D12" s="164">
        <v>527316</v>
      </c>
      <c r="E12" s="164">
        <v>526004</v>
      </c>
      <c r="F12" s="164">
        <v>535870</v>
      </c>
      <c r="G12" s="164">
        <v>527583</v>
      </c>
      <c r="H12" s="164">
        <v>465656</v>
      </c>
      <c r="I12" s="164">
        <v>439359</v>
      </c>
      <c r="J12" s="196">
        <v>591502</v>
      </c>
      <c r="K12" s="196">
        <v>616248</v>
      </c>
      <c r="L12" s="196">
        <v>643681</v>
      </c>
      <c r="M12" s="196">
        <v>640669.30000000005</v>
      </c>
      <c r="N12" s="298">
        <f>350004.5+310613.3</f>
        <v>660617.80000000005</v>
      </c>
      <c r="O12" s="298">
        <v>476955</v>
      </c>
      <c r="P12" s="298">
        <v>513061</v>
      </c>
      <c r="Q12" s="302">
        <v>515537</v>
      </c>
      <c r="R12" s="302">
        <v>537036</v>
      </c>
      <c r="S12" s="298">
        <v>547970</v>
      </c>
      <c r="T12" s="298">
        <v>551906</v>
      </c>
      <c r="U12" s="298">
        <v>607363</v>
      </c>
    </row>
    <row r="13" spans="1:21">
      <c r="A13" s="25">
        <v>115</v>
      </c>
      <c r="B13" s="26" t="s">
        <v>39</v>
      </c>
      <c r="C13" s="164">
        <v>232440</v>
      </c>
      <c r="D13" s="164">
        <v>226080</v>
      </c>
      <c r="E13" s="164">
        <v>213747</v>
      </c>
      <c r="F13" s="164">
        <v>203838</v>
      </c>
      <c r="G13" s="164">
        <v>202251</v>
      </c>
      <c r="H13" s="164">
        <v>196811</v>
      </c>
      <c r="I13" s="164">
        <v>197114</v>
      </c>
      <c r="J13" s="199">
        <v>196356</v>
      </c>
      <c r="K13" s="199">
        <v>198205</v>
      </c>
      <c r="L13" s="199">
        <v>192805</v>
      </c>
      <c r="M13" s="199">
        <v>200234.2</v>
      </c>
      <c r="N13" s="300">
        <f>252881.9</f>
        <v>252881.9</v>
      </c>
      <c r="O13" s="300">
        <v>322110</v>
      </c>
      <c r="P13" s="300">
        <v>320379</v>
      </c>
      <c r="Q13" s="302">
        <v>329300</v>
      </c>
      <c r="R13" s="302">
        <v>321622</v>
      </c>
      <c r="S13" s="300">
        <v>312434</v>
      </c>
      <c r="T13" s="300">
        <v>311829</v>
      </c>
      <c r="U13" s="300">
        <v>306373</v>
      </c>
    </row>
    <row r="14" spans="1:21">
      <c r="A14" s="33" t="s">
        <v>14</v>
      </c>
      <c r="B14" s="34" t="s">
        <v>53</v>
      </c>
      <c r="C14" s="164"/>
      <c r="D14" s="164"/>
      <c r="E14" s="164"/>
      <c r="F14" s="164"/>
      <c r="G14" s="164"/>
      <c r="H14" s="164"/>
      <c r="I14" s="164"/>
      <c r="J14" s="18"/>
      <c r="K14" s="18"/>
      <c r="L14" s="196">
        <v>0</v>
      </c>
      <c r="M14" s="196">
        <v>0</v>
      </c>
      <c r="N14" s="298">
        <v>0</v>
      </c>
      <c r="O14" s="298">
        <v>0</v>
      </c>
      <c r="P14" s="298">
        <v>0</v>
      </c>
      <c r="Q14" s="302">
        <v>0</v>
      </c>
      <c r="R14" s="302">
        <v>0</v>
      </c>
      <c r="S14" s="298">
        <v>0</v>
      </c>
      <c r="T14" s="298">
        <v>9000</v>
      </c>
      <c r="U14" s="298">
        <v>9000</v>
      </c>
    </row>
    <row r="15" spans="1:21">
      <c r="A15" s="35"/>
      <c r="B15" s="36"/>
      <c r="C15" s="30"/>
      <c r="D15" s="31"/>
      <c r="E15" s="30"/>
      <c r="F15" s="30"/>
      <c r="G15" s="149"/>
      <c r="H15" s="37"/>
      <c r="I15" s="156"/>
      <c r="J15" s="37"/>
      <c r="K15" s="37"/>
      <c r="L15" s="200"/>
      <c r="M15" s="200"/>
      <c r="N15" s="305"/>
      <c r="O15" s="305"/>
      <c r="P15" s="305"/>
      <c r="Q15" s="308"/>
      <c r="R15" s="308"/>
      <c r="S15" s="305"/>
      <c r="T15" s="305"/>
      <c r="U15" s="305"/>
    </row>
    <row r="16" spans="1:21">
      <c r="A16" s="11">
        <v>12</v>
      </c>
      <c r="B16" s="38" t="s">
        <v>41</v>
      </c>
      <c r="C16" s="13">
        <v>45699</v>
      </c>
      <c r="D16" s="13">
        <v>42140</v>
      </c>
      <c r="E16" s="13">
        <v>44759</v>
      </c>
      <c r="F16" s="13">
        <v>49662</v>
      </c>
      <c r="G16" s="13">
        <v>63219</v>
      </c>
      <c r="H16" s="13">
        <v>61487</v>
      </c>
      <c r="I16" s="13">
        <v>61433</v>
      </c>
      <c r="J16" s="13">
        <v>64027</v>
      </c>
      <c r="K16" s="13">
        <v>58688</v>
      </c>
      <c r="L16" s="198">
        <v>0</v>
      </c>
      <c r="M16" s="198">
        <v>0</v>
      </c>
      <c r="N16" s="313">
        <v>0</v>
      </c>
      <c r="O16" s="313">
        <v>0</v>
      </c>
      <c r="P16" s="313">
        <v>0</v>
      </c>
      <c r="Q16" s="309">
        <v>0</v>
      </c>
      <c r="R16" s="309">
        <v>0</v>
      </c>
      <c r="S16" s="388">
        <v>0</v>
      </c>
      <c r="T16" s="388">
        <v>0</v>
      </c>
      <c r="U16" s="388">
        <v>0</v>
      </c>
    </row>
    <row r="17" spans="1:21">
      <c r="A17" s="39"/>
      <c r="B17" s="40"/>
      <c r="C17" s="16"/>
      <c r="D17" s="17"/>
      <c r="E17" s="16"/>
      <c r="F17" s="16"/>
      <c r="G17" s="91"/>
      <c r="H17" s="18"/>
      <c r="I17" s="18"/>
      <c r="J17" s="18"/>
      <c r="K17" s="18"/>
      <c r="L17" s="196"/>
      <c r="M17" s="196"/>
      <c r="N17" s="298"/>
      <c r="O17" s="298"/>
      <c r="P17" s="298"/>
      <c r="Q17" s="311"/>
      <c r="R17" s="311"/>
      <c r="S17" s="298"/>
      <c r="T17" s="298"/>
      <c r="U17" s="298"/>
    </row>
    <row r="18" spans="1:21">
      <c r="A18" s="11">
        <v>13</v>
      </c>
      <c r="B18" s="38" t="s">
        <v>42</v>
      </c>
      <c r="C18" s="13">
        <v>0</v>
      </c>
      <c r="D18" s="13">
        <v>0</v>
      </c>
      <c r="E18" s="13">
        <v>0</v>
      </c>
      <c r="F18" s="13">
        <v>0</v>
      </c>
      <c r="G18" s="13">
        <v>0</v>
      </c>
      <c r="H18" s="13">
        <v>0</v>
      </c>
      <c r="I18" s="13">
        <v>0</v>
      </c>
      <c r="J18" s="13">
        <v>0</v>
      </c>
      <c r="K18" s="13">
        <v>0</v>
      </c>
      <c r="L18" s="198">
        <v>0</v>
      </c>
      <c r="M18" s="198">
        <v>0</v>
      </c>
      <c r="N18" s="313">
        <v>0</v>
      </c>
      <c r="O18" s="313">
        <v>0</v>
      </c>
      <c r="P18" s="313">
        <v>0</v>
      </c>
      <c r="Q18" s="309">
        <v>0</v>
      </c>
      <c r="R18" s="309">
        <v>0</v>
      </c>
      <c r="S18" s="388">
        <v>0</v>
      </c>
      <c r="T18" s="388">
        <v>0</v>
      </c>
      <c r="U18" s="388">
        <v>0</v>
      </c>
    </row>
    <row r="19" spans="1:21">
      <c r="A19" s="41"/>
      <c r="B19" s="42"/>
      <c r="C19" s="22"/>
      <c r="D19" s="23"/>
      <c r="E19" s="22"/>
      <c r="F19" s="22"/>
      <c r="G19" s="56"/>
      <c r="H19" s="18"/>
      <c r="I19" s="18"/>
      <c r="J19" s="18"/>
      <c r="K19" s="18"/>
      <c r="L19" s="196"/>
      <c r="M19" s="196"/>
      <c r="N19" s="298"/>
      <c r="O19" s="298"/>
      <c r="P19" s="298"/>
      <c r="Q19" s="311"/>
      <c r="R19" s="311"/>
      <c r="S19" s="298"/>
      <c r="T19" s="298"/>
      <c r="U19" s="298"/>
    </row>
    <row r="20" spans="1:21">
      <c r="A20" s="43"/>
      <c r="B20" s="36"/>
      <c r="C20" s="30"/>
      <c r="D20" s="31"/>
      <c r="E20" s="30"/>
      <c r="F20" s="30"/>
      <c r="G20" s="150"/>
      <c r="H20" s="37"/>
      <c r="I20" s="156"/>
      <c r="J20" s="37"/>
      <c r="K20" s="37"/>
      <c r="L20" s="200"/>
      <c r="M20" s="200"/>
      <c r="N20" s="305"/>
      <c r="O20" s="305"/>
      <c r="P20" s="305"/>
      <c r="Q20" s="308"/>
      <c r="R20" s="308"/>
      <c r="S20" s="305"/>
      <c r="T20" s="305"/>
      <c r="U20" s="305"/>
    </row>
    <row r="21" spans="1:21">
      <c r="A21" s="11">
        <v>2</v>
      </c>
      <c r="B21" s="38" t="s">
        <v>43</v>
      </c>
      <c r="C21" s="13">
        <f>C23+C28+C30+C32+C34</f>
        <v>1366008</v>
      </c>
      <c r="D21" s="13">
        <f>D23+D28+D30+D32+D34</f>
        <v>1465030</v>
      </c>
      <c r="E21" s="13">
        <f>E23+E28+E30+E32+E34</f>
        <v>1394453</v>
      </c>
      <c r="F21" s="13">
        <f>F23+F28+F30+F32+F34+F35</f>
        <v>1379603</v>
      </c>
      <c r="G21" s="13">
        <f>G23+G28+G30+G32+G34+G35</f>
        <v>1342637</v>
      </c>
      <c r="H21" s="13">
        <f t="shared" ref="H21:M21" si="16">H23+H28+H30+H32+H34</f>
        <v>2098676</v>
      </c>
      <c r="I21" s="13">
        <f t="shared" si="16"/>
        <v>2201131</v>
      </c>
      <c r="J21" s="13">
        <f t="shared" si="16"/>
        <v>2527832</v>
      </c>
      <c r="K21" s="13">
        <f t="shared" si="16"/>
        <v>2896072</v>
      </c>
      <c r="L21" s="198">
        <f t="shared" si="16"/>
        <v>2959039</v>
      </c>
      <c r="M21" s="198">
        <f t="shared" si="16"/>
        <v>3133197.7</v>
      </c>
      <c r="N21" s="198">
        <f>N23+N28+N30+N32+N34</f>
        <v>3119166.8</v>
      </c>
      <c r="O21" s="198">
        <f>O23+O28+O30+O32+O34</f>
        <v>3011739</v>
      </c>
      <c r="P21" s="198">
        <f>P23+P28+P30+P32+P34</f>
        <v>2624006</v>
      </c>
      <c r="Q21" s="13">
        <f t="shared" ref="Q21:R21" si="17">Q23+Q28+Q30+Q32+Q34</f>
        <v>2671169</v>
      </c>
      <c r="R21" s="13">
        <f t="shared" si="17"/>
        <v>3047878</v>
      </c>
      <c r="S21" s="348">
        <f t="shared" ref="S21:T21" si="18">S23+S28+S30+S32+S34</f>
        <v>3129145</v>
      </c>
      <c r="T21" s="348">
        <f t="shared" si="18"/>
        <v>3073659</v>
      </c>
      <c r="U21" s="348">
        <f t="shared" ref="U21" si="19">U23+U28+U30+U32+U34</f>
        <v>3325460</v>
      </c>
    </row>
    <row r="22" spans="1:21">
      <c r="A22" s="44"/>
      <c r="B22" s="45"/>
      <c r="C22" s="16"/>
      <c r="D22" s="17"/>
      <c r="E22" s="16"/>
      <c r="F22" s="16"/>
      <c r="G22" s="56"/>
      <c r="H22" s="18"/>
      <c r="I22" s="18"/>
      <c r="J22" s="18"/>
      <c r="K22" s="18"/>
      <c r="L22" s="196"/>
      <c r="M22" s="196"/>
      <c r="N22" s="196"/>
      <c r="O22" s="196"/>
      <c r="P22" s="196"/>
      <c r="Q22" s="18"/>
      <c r="R22" s="18"/>
      <c r="S22" s="298"/>
      <c r="T22" s="298"/>
      <c r="U22" s="298"/>
    </row>
    <row r="23" spans="1:21">
      <c r="A23" s="46">
        <v>20</v>
      </c>
      <c r="B23" s="47" t="s">
        <v>44</v>
      </c>
      <c r="C23" s="13">
        <f t="shared" ref="C23:H23" si="20">C24+C25+C26</f>
        <v>825265</v>
      </c>
      <c r="D23" s="13">
        <f t="shared" si="20"/>
        <v>954137</v>
      </c>
      <c r="E23" s="13">
        <f t="shared" si="20"/>
        <v>1008244</v>
      </c>
      <c r="F23" s="13">
        <f t="shared" si="20"/>
        <v>919928</v>
      </c>
      <c r="G23" s="13">
        <f t="shared" si="20"/>
        <v>809817</v>
      </c>
      <c r="H23" s="13">
        <f t="shared" si="20"/>
        <v>713738</v>
      </c>
      <c r="I23" s="13">
        <f t="shared" ref="I23:N23" si="21">I24+I25+I26</f>
        <v>716559</v>
      </c>
      <c r="J23" s="13">
        <f t="shared" si="21"/>
        <v>773707</v>
      </c>
      <c r="K23" s="13">
        <f t="shared" si="21"/>
        <v>985559</v>
      </c>
      <c r="L23" s="198">
        <f t="shared" si="21"/>
        <v>930062</v>
      </c>
      <c r="M23" s="198">
        <f t="shared" si="21"/>
        <v>1057717.6000000001</v>
      </c>
      <c r="N23" s="198">
        <f t="shared" si="21"/>
        <v>1243410.3</v>
      </c>
      <c r="O23" s="198">
        <f>O24+O25+O26</f>
        <v>1197454</v>
      </c>
      <c r="P23" s="198">
        <f>P24+P25+P26</f>
        <v>841066</v>
      </c>
      <c r="Q23" s="13">
        <f t="shared" ref="Q23:R23" si="22">Q24+Q25+Q26</f>
        <v>908479</v>
      </c>
      <c r="R23" s="13">
        <f t="shared" si="22"/>
        <v>1190955</v>
      </c>
      <c r="S23" s="348">
        <f t="shared" ref="S23:T23" si="23">S24+S25+S26</f>
        <v>1202826</v>
      </c>
      <c r="T23" s="348">
        <f t="shared" si="23"/>
        <v>1139553</v>
      </c>
      <c r="U23" s="348">
        <f t="shared" ref="U23" si="24">U24+U25+U26</f>
        <v>1337582</v>
      </c>
    </row>
    <row r="24" spans="1:21">
      <c r="A24" s="48" t="s">
        <v>20</v>
      </c>
      <c r="B24" s="49" t="s">
        <v>58</v>
      </c>
      <c r="C24" s="164">
        <v>241094</v>
      </c>
      <c r="D24" s="164">
        <v>177483</v>
      </c>
      <c r="E24" s="164">
        <v>177035</v>
      </c>
      <c r="F24" s="164">
        <v>209614</v>
      </c>
      <c r="G24" s="164">
        <v>195388</v>
      </c>
      <c r="H24" s="164">
        <v>185172</v>
      </c>
      <c r="I24" s="164">
        <v>156759</v>
      </c>
      <c r="J24" s="196">
        <v>167620</v>
      </c>
      <c r="K24" s="196">
        <v>323403</v>
      </c>
      <c r="L24" s="196">
        <v>286455</v>
      </c>
      <c r="M24" s="196">
        <f>394318.8</f>
        <v>394318.8</v>
      </c>
      <c r="N24" s="298">
        <f>483749.7</f>
        <v>483749.7</v>
      </c>
      <c r="O24" s="298">
        <v>527173</v>
      </c>
      <c r="P24" s="298">
        <v>455748</v>
      </c>
      <c r="Q24" s="302">
        <v>556131</v>
      </c>
      <c r="R24" s="302">
        <v>829052</v>
      </c>
      <c r="S24" s="298">
        <v>846871</v>
      </c>
      <c r="T24" s="298">
        <v>771782</v>
      </c>
      <c r="U24" s="298">
        <v>969510</v>
      </c>
    </row>
    <row r="25" spans="1:21">
      <c r="A25" s="50">
        <v>202</v>
      </c>
      <c r="B25" s="51" t="s">
        <v>76</v>
      </c>
      <c r="C25" s="164">
        <v>536500</v>
      </c>
      <c r="D25" s="164">
        <v>706500</v>
      </c>
      <c r="E25" s="164">
        <v>746500</v>
      </c>
      <c r="F25" s="164">
        <v>626500</v>
      </c>
      <c r="G25" s="164">
        <v>530000</v>
      </c>
      <c r="H25" s="164">
        <v>405000</v>
      </c>
      <c r="I25" s="164">
        <v>405000</v>
      </c>
      <c r="J25" s="199">
        <v>405000</v>
      </c>
      <c r="K25" s="199">
        <v>405000</v>
      </c>
      <c r="L25" s="199">
        <v>360000</v>
      </c>
      <c r="M25" s="199">
        <v>330000</v>
      </c>
      <c r="N25" s="300">
        <f>360000+60998.3</f>
        <v>420998.3</v>
      </c>
      <c r="O25" s="300">
        <v>360000</v>
      </c>
      <c r="P25" s="300">
        <v>50000</v>
      </c>
      <c r="Q25" s="302">
        <v>0</v>
      </c>
      <c r="R25" s="302">
        <v>26841</v>
      </c>
      <c r="S25" s="300">
        <v>26964</v>
      </c>
      <c r="T25" s="300">
        <v>28947</v>
      </c>
      <c r="U25" s="300">
        <v>35570</v>
      </c>
    </row>
    <row r="26" spans="1:21">
      <c r="A26" s="50">
        <v>205</v>
      </c>
      <c r="B26" s="52" t="s">
        <v>60</v>
      </c>
      <c r="C26" s="164">
        <v>47671</v>
      </c>
      <c r="D26" s="164">
        <v>70154</v>
      </c>
      <c r="E26" s="164">
        <v>84709</v>
      </c>
      <c r="F26" s="164">
        <v>83814</v>
      </c>
      <c r="G26" s="164">
        <v>84429</v>
      </c>
      <c r="H26" s="164">
        <v>123566</v>
      </c>
      <c r="I26" s="164">
        <v>154800</v>
      </c>
      <c r="J26" s="196">
        <v>201087</v>
      </c>
      <c r="K26" s="196">
        <v>257156</v>
      </c>
      <c r="L26" s="196">
        <v>283607</v>
      </c>
      <c r="M26" s="196">
        <v>333398.8</v>
      </c>
      <c r="N26" s="298">
        <v>338662.3</v>
      </c>
      <c r="O26" s="298">
        <v>310281</v>
      </c>
      <c r="P26" s="298">
        <v>335318</v>
      </c>
      <c r="Q26" s="302">
        <v>352348</v>
      </c>
      <c r="R26" s="302">
        <v>335062</v>
      </c>
      <c r="S26" s="298">
        <v>328991</v>
      </c>
      <c r="T26" s="298">
        <v>338824</v>
      </c>
      <c r="U26" s="298">
        <v>332502</v>
      </c>
    </row>
    <row r="27" spans="1:21">
      <c r="A27" s="35"/>
      <c r="B27" s="36"/>
      <c r="C27" s="30"/>
      <c r="D27" s="31"/>
      <c r="E27" s="30"/>
      <c r="F27" s="30"/>
      <c r="G27" s="150"/>
      <c r="H27" s="37"/>
      <c r="I27" s="156"/>
      <c r="J27" s="37"/>
      <c r="K27" s="37"/>
      <c r="L27" s="200"/>
      <c r="M27" s="200"/>
      <c r="N27" s="305"/>
      <c r="O27" s="305"/>
      <c r="P27" s="305"/>
      <c r="Q27" s="308"/>
      <c r="R27" s="308"/>
      <c r="S27" s="305"/>
      <c r="T27" s="305"/>
      <c r="U27" s="305"/>
    </row>
    <row r="28" spans="1:21">
      <c r="A28" s="11">
        <v>23</v>
      </c>
      <c r="B28" s="38" t="s">
        <v>48</v>
      </c>
      <c r="C28" s="13">
        <v>432915</v>
      </c>
      <c r="D28" s="13">
        <v>394050</v>
      </c>
      <c r="E28" s="13">
        <v>276903</v>
      </c>
      <c r="F28" s="13">
        <v>276593</v>
      </c>
      <c r="G28" s="13">
        <v>279106</v>
      </c>
      <c r="H28" s="13">
        <v>280107</v>
      </c>
      <c r="I28" s="13">
        <v>287163</v>
      </c>
      <c r="J28" s="13">
        <v>293727</v>
      </c>
      <c r="K28" s="13">
        <v>287097</v>
      </c>
      <c r="L28" s="198">
        <v>278130</v>
      </c>
      <c r="M28" s="198">
        <v>274706.40000000002</v>
      </c>
      <c r="N28" s="313">
        <v>0</v>
      </c>
      <c r="O28" s="313">
        <v>0</v>
      </c>
      <c r="P28" s="313">
        <v>0</v>
      </c>
      <c r="Q28" s="309"/>
      <c r="R28" s="309"/>
      <c r="S28" s="388"/>
      <c r="T28" s="388"/>
      <c r="U28" s="388"/>
    </row>
    <row r="29" spans="1:21">
      <c r="A29" s="53"/>
      <c r="B29" s="40"/>
      <c r="C29" s="16"/>
      <c r="D29" s="17"/>
      <c r="E29" s="16"/>
      <c r="F29" s="16"/>
      <c r="G29" s="148"/>
      <c r="H29" s="18"/>
      <c r="I29" s="18"/>
      <c r="J29" s="18"/>
      <c r="K29" s="18"/>
      <c r="L29" s="196"/>
      <c r="M29" s="196"/>
      <c r="N29" s="298"/>
      <c r="O29" s="298"/>
      <c r="P29" s="298"/>
      <c r="Q29" s="311"/>
      <c r="R29" s="311"/>
      <c r="S29" s="298"/>
      <c r="T29" s="298"/>
      <c r="U29" s="298"/>
    </row>
    <row r="30" spans="1:21">
      <c r="A30" s="11">
        <v>24</v>
      </c>
      <c r="B30" s="38" t="s">
        <v>49</v>
      </c>
      <c r="C30" s="13">
        <v>41450</v>
      </c>
      <c r="D30" s="13">
        <v>51381</v>
      </c>
      <c r="E30" s="13">
        <v>41418</v>
      </c>
      <c r="F30" s="13">
        <v>50295</v>
      </c>
      <c r="G30" s="13">
        <v>63514</v>
      </c>
      <c r="H30" s="13">
        <v>69143</v>
      </c>
      <c r="I30" s="13">
        <v>70715</v>
      </c>
      <c r="J30" s="13">
        <v>124449</v>
      </c>
      <c r="K30" s="13">
        <v>202874</v>
      </c>
      <c r="L30" s="198">
        <v>319864</v>
      </c>
      <c r="M30" s="198">
        <v>384534.8</v>
      </c>
      <c r="N30" s="313">
        <f>1977.9+47812.5+131232.2</f>
        <v>181022.6</v>
      </c>
      <c r="O30" s="313">
        <v>276085</v>
      </c>
      <c r="P30" s="313">
        <v>188211</v>
      </c>
      <c r="Q30" s="309">
        <v>169576</v>
      </c>
      <c r="R30" s="309">
        <v>240027</v>
      </c>
      <c r="S30" s="388">
        <v>360780</v>
      </c>
      <c r="T30" s="388">
        <v>282222</v>
      </c>
      <c r="U30" s="388">
        <v>328127</v>
      </c>
    </row>
    <row r="31" spans="1:21">
      <c r="A31" s="44"/>
      <c r="B31" s="45"/>
      <c r="C31" s="164"/>
      <c r="D31" s="17"/>
      <c r="E31" s="16"/>
      <c r="F31" s="16"/>
      <c r="G31" s="13"/>
      <c r="H31" s="18"/>
      <c r="I31" s="18"/>
      <c r="J31" s="18"/>
      <c r="K31" s="18"/>
      <c r="L31" s="196"/>
      <c r="M31" s="196"/>
      <c r="N31" s="298"/>
      <c r="O31" s="298"/>
      <c r="P31" s="298"/>
      <c r="Q31" s="311"/>
      <c r="R31" s="311"/>
      <c r="S31" s="298"/>
      <c r="T31" s="298"/>
      <c r="U31" s="298"/>
    </row>
    <row r="32" spans="1:21">
      <c r="A32" s="54">
        <v>28</v>
      </c>
      <c r="B32" s="47" t="s">
        <v>54</v>
      </c>
      <c r="C32" s="13">
        <v>16484</v>
      </c>
      <c r="D32" s="13">
        <v>20438</v>
      </c>
      <c r="E32" s="13">
        <v>19449</v>
      </c>
      <c r="F32" s="13">
        <v>21046</v>
      </c>
      <c r="G32" s="13">
        <v>32732</v>
      </c>
      <c r="H32" s="13">
        <v>29081</v>
      </c>
      <c r="I32" s="13">
        <v>35685</v>
      </c>
      <c r="J32" s="13">
        <v>33381</v>
      </c>
      <c r="K32" s="13">
        <v>89632</v>
      </c>
      <c r="L32" s="198">
        <v>94246</v>
      </c>
      <c r="M32" s="198">
        <v>75643.399999999994</v>
      </c>
      <c r="N32" s="313">
        <v>39503.4</v>
      </c>
      <c r="O32" s="313">
        <v>0</v>
      </c>
      <c r="P32" s="313">
        <v>42535</v>
      </c>
      <c r="Q32" s="309">
        <v>45031</v>
      </c>
      <c r="R32" s="309">
        <v>48072</v>
      </c>
      <c r="S32" s="388">
        <v>49735</v>
      </c>
      <c r="T32" s="388">
        <v>53794</v>
      </c>
      <c r="U32" s="388">
        <v>58355</v>
      </c>
    </row>
    <row r="33" spans="1:21">
      <c r="A33" s="53"/>
      <c r="B33" s="40"/>
      <c r="C33" s="16"/>
      <c r="D33" s="17"/>
      <c r="E33" s="16"/>
      <c r="F33" s="16"/>
      <c r="G33" s="13"/>
      <c r="H33" s="18"/>
      <c r="I33" s="18"/>
      <c r="J33" s="18"/>
      <c r="K33" s="18"/>
      <c r="L33" s="196"/>
      <c r="M33" s="196"/>
      <c r="N33" s="298"/>
      <c r="O33" s="298"/>
      <c r="P33" s="298"/>
      <c r="Q33" s="311"/>
      <c r="R33" s="311"/>
      <c r="S33" s="298"/>
      <c r="T33" s="298"/>
      <c r="U33" s="298"/>
    </row>
    <row r="34" spans="1:21">
      <c r="A34" s="11">
        <v>29</v>
      </c>
      <c r="B34" s="38" t="s">
        <v>77</v>
      </c>
      <c r="C34" s="13">
        <v>49894</v>
      </c>
      <c r="D34" s="13">
        <v>45024</v>
      </c>
      <c r="E34" s="13">
        <v>48439</v>
      </c>
      <c r="F34" s="13">
        <v>111741</v>
      </c>
      <c r="G34" s="13">
        <v>157468</v>
      </c>
      <c r="H34" s="13">
        <v>1006607</v>
      </c>
      <c r="I34" s="13">
        <v>1091009</v>
      </c>
      <c r="J34" s="13">
        <v>1302568</v>
      </c>
      <c r="K34" s="13">
        <v>1330910</v>
      </c>
      <c r="L34" s="198">
        <v>1336737</v>
      </c>
      <c r="M34" s="198">
        <v>1340595.5</v>
      </c>
      <c r="N34" s="313">
        <v>1655230.5</v>
      </c>
      <c r="O34" s="313">
        <v>1538200</v>
      </c>
      <c r="P34" s="313">
        <v>1552194</v>
      </c>
      <c r="Q34" s="309">
        <v>1548083</v>
      </c>
      <c r="R34" s="309">
        <v>1568824</v>
      </c>
      <c r="S34" s="388">
        <v>1515804</v>
      </c>
      <c r="T34" s="388">
        <v>1598090</v>
      </c>
      <c r="U34" s="388">
        <v>1601396</v>
      </c>
    </row>
    <row r="35" spans="1:21">
      <c r="A35" s="131"/>
      <c r="B35" s="132"/>
      <c r="C35" s="133"/>
      <c r="D35" s="143"/>
      <c r="E35" s="133"/>
      <c r="F35" s="159"/>
      <c r="G35" s="133"/>
      <c r="H35" s="18"/>
      <c r="I35" s="18"/>
      <c r="J35" s="18"/>
      <c r="K35" s="18"/>
      <c r="L35" s="167"/>
      <c r="M35" s="167"/>
      <c r="N35" s="167"/>
      <c r="O35" s="167"/>
      <c r="P35" s="167"/>
      <c r="Q35" s="311"/>
      <c r="R35" s="311"/>
      <c r="S35" s="360"/>
      <c r="T35" s="360"/>
      <c r="U35" s="360"/>
    </row>
    <row r="36" spans="1:21">
      <c r="A36" s="176"/>
      <c r="B36" s="177"/>
      <c r="C36" s="178"/>
      <c r="D36" s="179"/>
      <c r="E36" s="178"/>
      <c r="F36" s="174"/>
      <c r="G36" s="178"/>
      <c r="H36" s="180"/>
      <c r="I36" s="180"/>
      <c r="J36" s="102"/>
      <c r="K36" s="102"/>
      <c r="L36" s="225"/>
      <c r="M36" s="225"/>
      <c r="N36" s="225"/>
      <c r="O36" s="225"/>
      <c r="P36" s="225"/>
      <c r="Q36" s="341"/>
      <c r="R36" s="341"/>
      <c r="S36" s="362"/>
      <c r="T36" s="362"/>
      <c r="U36" s="362"/>
    </row>
    <row r="37" spans="1:21">
      <c r="A37" s="181"/>
      <c r="B37" s="181"/>
      <c r="C37" s="182"/>
      <c r="D37" s="182"/>
      <c r="E37" s="182"/>
      <c r="F37" s="182"/>
      <c r="G37" s="182"/>
      <c r="H37" s="182"/>
      <c r="I37" s="183"/>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147" customWidth="1"/>
    <col min="2" max="2" width="60.85546875" style="147" bestFit="1" customWidth="1"/>
    <col min="3" max="8" width="10.7109375" style="92" bestFit="1" customWidth="1"/>
    <col min="9" max="9" width="12.28515625" style="92" bestFit="1" customWidth="1"/>
    <col min="10" max="10" width="11.42578125" style="92"/>
    <col min="11" max="11" width="16.5703125" style="92" customWidth="1"/>
    <col min="12" max="12" width="15.42578125" style="92" customWidth="1"/>
    <col min="13" max="13" width="14.85546875" style="92" bestFit="1" customWidth="1"/>
    <col min="14" max="17" width="11.42578125" style="92"/>
    <col min="18" max="21" width="15.42578125" style="78" bestFit="1" customWidth="1"/>
    <col min="22" max="16384" width="11.42578125" style="9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52</v>
      </c>
      <c r="B2" s="8" t="s">
        <v>74</v>
      </c>
      <c r="C2" s="79"/>
      <c r="D2" s="79"/>
      <c r="E2" s="79"/>
      <c r="F2" s="79"/>
      <c r="G2" s="79"/>
      <c r="H2" s="79"/>
      <c r="I2" s="79"/>
      <c r="J2" s="6"/>
      <c r="K2" s="6" t="s">
        <v>85</v>
      </c>
      <c r="L2" s="6" t="s">
        <v>85</v>
      </c>
      <c r="M2" s="6" t="s">
        <v>85</v>
      </c>
      <c r="N2" s="6" t="s">
        <v>85</v>
      </c>
      <c r="O2" s="6" t="s">
        <v>85</v>
      </c>
      <c r="P2" s="6" t="s">
        <v>85</v>
      </c>
      <c r="Q2" s="346" t="s">
        <v>85</v>
      </c>
      <c r="R2" s="346" t="s">
        <v>85</v>
      </c>
      <c r="S2" s="346" t="s">
        <v>85</v>
      </c>
      <c r="T2" s="346" t="s">
        <v>85</v>
      </c>
      <c r="U2" s="346" t="s">
        <v>85</v>
      </c>
    </row>
    <row r="3" spans="1:21">
      <c r="A3" s="186"/>
      <c r="B3" s="9"/>
      <c r="C3" s="9" t="s">
        <v>106</v>
      </c>
      <c r="D3" s="9" t="s">
        <v>106</v>
      </c>
      <c r="E3" s="9" t="s">
        <v>106</v>
      </c>
      <c r="F3" s="9" t="s">
        <v>106</v>
      </c>
      <c r="G3" s="9" t="s">
        <v>106</v>
      </c>
      <c r="H3" s="9" t="s">
        <v>106</v>
      </c>
      <c r="I3" s="9" t="s">
        <v>106</v>
      </c>
      <c r="J3" s="9" t="s">
        <v>106</v>
      </c>
      <c r="K3" s="9" t="s">
        <v>106</v>
      </c>
      <c r="L3" s="9" t="s">
        <v>106</v>
      </c>
      <c r="M3" s="9" t="s">
        <v>106</v>
      </c>
      <c r="N3" s="9" t="s">
        <v>106</v>
      </c>
      <c r="O3" s="9" t="s">
        <v>106</v>
      </c>
      <c r="P3" s="9" t="s">
        <v>106</v>
      </c>
      <c r="Q3" s="343" t="s">
        <v>106</v>
      </c>
      <c r="R3" s="343" t="s">
        <v>106</v>
      </c>
      <c r="S3" s="343" t="s">
        <v>4</v>
      </c>
      <c r="T3" s="343" t="s">
        <v>4</v>
      </c>
      <c r="U3" s="343" t="s">
        <v>4</v>
      </c>
    </row>
    <row r="4" spans="1:21">
      <c r="A4" s="11">
        <v>1</v>
      </c>
      <c r="B4" s="12" t="s">
        <v>32</v>
      </c>
      <c r="C4" s="87">
        <f t="shared" ref="C4:H4" si="0">C6+C11+C16+C18</f>
        <v>14872124</v>
      </c>
      <c r="D4" s="87">
        <f t="shared" si="0"/>
        <v>18909382</v>
      </c>
      <c r="E4" s="87">
        <f t="shared" si="0"/>
        <v>21601291</v>
      </c>
      <c r="F4" s="87">
        <f t="shared" si="0"/>
        <v>22865586</v>
      </c>
      <c r="G4" s="87">
        <f t="shared" si="0"/>
        <v>23946128</v>
      </c>
      <c r="H4" s="87">
        <f t="shared" si="0"/>
        <v>23805783</v>
      </c>
      <c r="I4" s="13">
        <f t="shared" ref="I4:O4" si="1">I6+I11+I16+I18</f>
        <v>24585273</v>
      </c>
      <c r="J4" s="13">
        <f t="shared" si="1"/>
        <v>25692493.731000002</v>
      </c>
      <c r="K4" s="13">
        <f t="shared" si="1"/>
        <v>17912459</v>
      </c>
      <c r="L4" s="198">
        <f t="shared" si="1"/>
        <v>17353219.918219998</v>
      </c>
      <c r="M4" s="198">
        <f t="shared" si="1"/>
        <v>17710517</v>
      </c>
      <c r="N4" s="198">
        <f t="shared" si="1"/>
        <v>17136338.662890002</v>
      </c>
      <c r="O4" s="198">
        <f t="shared" si="1"/>
        <v>19120863.770939998</v>
      </c>
      <c r="P4" s="198">
        <f t="shared" ref="P4:Q4" si="2">P6+P11+P16+P18</f>
        <v>20764223.645999998</v>
      </c>
      <c r="Q4" s="13">
        <f t="shared" si="2"/>
        <v>20159621.19256999</v>
      </c>
      <c r="R4" s="13">
        <f t="shared" ref="R4" si="3">R6+R11+R16+R18</f>
        <v>19866327.82192</v>
      </c>
      <c r="S4" s="348">
        <f t="shared" ref="S4:T4" si="4">S6+S11+S16+S18</f>
        <v>19673317.71277</v>
      </c>
      <c r="T4" s="348">
        <f t="shared" si="4"/>
        <v>19609938.066359997</v>
      </c>
      <c r="U4" s="348">
        <f t="shared" ref="U4" si="5">U6+U11+U16+U18</f>
        <v>19742483.836219996</v>
      </c>
    </row>
    <row r="5" spans="1:21">
      <c r="A5" s="14"/>
      <c r="B5" s="15"/>
      <c r="C5" s="16"/>
      <c r="D5" s="17"/>
      <c r="E5" s="16"/>
      <c r="F5" s="16"/>
      <c r="G5" s="149"/>
      <c r="H5" s="18"/>
      <c r="I5" s="18"/>
      <c r="J5" s="18"/>
      <c r="K5" s="18"/>
      <c r="L5" s="196"/>
      <c r="M5" s="196"/>
      <c r="N5" s="196"/>
      <c r="O5" s="196"/>
      <c r="P5" s="196"/>
      <c r="Q5" s="18"/>
      <c r="R5" s="18"/>
      <c r="S5" s="298"/>
      <c r="T5" s="298"/>
      <c r="U5" s="298"/>
    </row>
    <row r="6" spans="1:21">
      <c r="A6" s="19">
        <v>10</v>
      </c>
      <c r="B6" s="12" t="s">
        <v>33</v>
      </c>
      <c r="C6" s="13">
        <f t="shared" ref="C6:H6" si="6">C7+C8+C9</f>
        <v>3976521</v>
      </c>
      <c r="D6" s="13">
        <f t="shared" si="6"/>
        <v>7939259</v>
      </c>
      <c r="E6" s="13">
        <f t="shared" si="6"/>
        <v>10586021</v>
      </c>
      <c r="F6" s="13">
        <f t="shared" si="6"/>
        <v>11211283</v>
      </c>
      <c r="G6" s="13">
        <f t="shared" si="6"/>
        <v>11888120</v>
      </c>
      <c r="H6" s="13">
        <f t="shared" si="6"/>
        <v>12061474</v>
      </c>
      <c r="I6" s="13">
        <f t="shared" ref="I6:O6" si="7">I7+I8+I9</f>
        <v>12837610</v>
      </c>
      <c r="J6" s="13">
        <f t="shared" si="7"/>
        <v>14237007.689000001</v>
      </c>
      <c r="K6" s="13">
        <f t="shared" si="7"/>
        <v>4098189</v>
      </c>
      <c r="L6" s="198">
        <f t="shared" si="7"/>
        <v>3424380.0479799998</v>
      </c>
      <c r="M6" s="198">
        <f t="shared" si="7"/>
        <v>3539326</v>
      </c>
      <c r="N6" s="198">
        <f t="shared" si="7"/>
        <v>2652806.6628900003</v>
      </c>
      <c r="O6" s="198">
        <f t="shared" si="7"/>
        <v>4520619.0422099996</v>
      </c>
      <c r="P6" s="198">
        <f t="shared" ref="P6" si="8">P7+P8+P9</f>
        <v>6190659.7809999995</v>
      </c>
      <c r="Q6" s="13">
        <f>Q7+Q8+Q9</f>
        <v>4896305.0286399899</v>
      </c>
      <c r="R6" s="13">
        <f>R7+R8+R9</f>
        <v>4521796.0708099995</v>
      </c>
      <c r="S6" s="348">
        <f>S7+S8+S9</f>
        <v>4417660.1670600008</v>
      </c>
      <c r="T6" s="348">
        <f>T7+T8+T9</f>
        <v>4251366.5485099964</v>
      </c>
      <c r="U6" s="348">
        <f>U7+U8+U9</f>
        <v>4342728.9262499996</v>
      </c>
    </row>
    <row r="7" spans="1:21">
      <c r="A7" s="20" t="s">
        <v>7</v>
      </c>
      <c r="B7" s="21" t="s">
        <v>34</v>
      </c>
      <c r="C7" s="164">
        <v>1218978</v>
      </c>
      <c r="D7" s="164">
        <v>2902165</v>
      </c>
      <c r="E7" s="164">
        <v>3260748</v>
      </c>
      <c r="F7" s="164">
        <v>4388099</v>
      </c>
      <c r="G7" s="164">
        <v>3169117</v>
      </c>
      <c r="H7" s="164">
        <v>3457770</v>
      </c>
      <c r="I7" s="164">
        <v>3355504</v>
      </c>
      <c r="J7" s="115">
        <f>3085554.581+211897.47</f>
        <v>3297452.051</v>
      </c>
      <c r="K7" s="115">
        <v>3277540</v>
      </c>
      <c r="L7" s="196">
        <v>2564780</v>
      </c>
      <c r="M7" s="196">
        <v>2146570</v>
      </c>
      <c r="N7" s="298">
        <v>1252114.66289</v>
      </c>
      <c r="O7" s="298">
        <v>3355135</v>
      </c>
      <c r="P7" s="322">
        <v>4801103.9709999999</v>
      </c>
      <c r="Q7" s="302">
        <v>1095416.3655699999</v>
      </c>
      <c r="R7" s="302">
        <v>1213741.7362599999</v>
      </c>
      <c r="S7" s="298">
        <v>1307535.7903400001</v>
      </c>
      <c r="T7" s="298">
        <v>1304947.0125699998</v>
      </c>
      <c r="U7" s="298">
        <v>1244099.5903699999</v>
      </c>
    </row>
    <row r="8" spans="1:21">
      <c r="A8" s="25">
        <v>102</v>
      </c>
      <c r="B8" s="26" t="s">
        <v>35</v>
      </c>
      <c r="C8" s="164">
        <v>1558377</v>
      </c>
      <c r="D8" s="164">
        <v>1481086</v>
      </c>
      <c r="E8" s="164">
        <v>1461703</v>
      </c>
      <c r="F8" s="164">
        <v>1458152</v>
      </c>
      <c r="G8" s="164">
        <v>1483972</v>
      </c>
      <c r="H8" s="164">
        <v>1462977</v>
      </c>
      <c r="I8" s="164">
        <v>1514731</v>
      </c>
      <c r="J8" s="118">
        <v>1569177.7579999999</v>
      </c>
      <c r="K8" s="118">
        <v>433703</v>
      </c>
      <c r="L8" s="199">
        <v>471452.67437999992</v>
      </c>
      <c r="M8" s="199">
        <v>1001707</v>
      </c>
      <c r="N8" s="300">
        <v>1031242</v>
      </c>
      <c r="O8" s="300">
        <v>1026457.04221</v>
      </c>
      <c r="P8" s="323">
        <v>955724.41899999999</v>
      </c>
      <c r="Q8" s="302">
        <v>1656446.9726400001</v>
      </c>
      <c r="R8" s="302">
        <v>1686186.7265499998</v>
      </c>
      <c r="S8" s="300">
        <v>1904810.0298099997</v>
      </c>
      <c r="T8" s="300">
        <v>1599910.4681099998</v>
      </c>
      <c r="U8" s="300">
        <v>1746635.6162199997</v>
      </c>
    </row>
    <row r="9" spans="1:21">
      <c r="A9" s="25">
        <v>103</v>
      </c>
      <c r="B9" s="26" t="s">
        <v>36</v>
      </c>
      <c r="C9" s="164">
        <v>1199166</v>
      </c>
      <c r="D9" s="164">
        <v>3556008</v>
      </c>
      <c r="E9" s="164">
        <v>5863570</v>
      </c>
      <c r="F9" s="164">
        <v>5365032</v>
      </c>
      <c r="G9" s="164">
        <v>7235031</v>
      </c>
      <c r="H9" s="164">
        <v>7140727</v>
      </c>
      <c r="I9" s="164">
        <v>7967375</v>
      </c>
      <c r="J9" s="118">
        <v>9370377.8800000008</v>
      </c>
      <c r="K9" s="118">
        <v>386946</v>
      </c>
      <c r="L9" s="196">
        <v>388147.37360000005</v>
      </c>
      <c r="M9" s="196">
        <v>391049</v>
      </c>
      <c r="N9" s="298">
        <v>369450</v>
      </c>
      <c r="O9" s="298">
        <v>139027</v>
      </c>
      <c r="P9" s="322">
        <v>433831.391</v>
      </c>
      <c r="Q9" s="302">
        <v>2144441.6904299902</v>
      </c>
      <c r="R9" s="302">
        <v>1621867.6079999998</v>
      </c>
      <c r="S9" s="298">
        <v>1205314.346910001</v>
      </c>
      <c r="T9" s="298">
        <v>1346509.067829997</v>
      </c>
      <c r="U9" s="298">
        <v>1351993.7196599999</v>
      </c>
    </row>
    <row r="10" spans="1:21">
      <c r="A10" s="28"/>
      <c r="B10" s="29"/>
      <c r="C10" s="30"/>
      <c r="D10" s="31"/>
      <c r="E10" s="30"/>
      <c r="F10" s="30"/>
      <c r="G10" s="149"/>
      <c r="H10" s="18"/>
      <c r="I10" s="18"/>
      <c r="J10" s="18"/>
      <c r="K10" s="18"/>
      <c r="L10" s="196"/>
      <c r="M10" s="196"/>
      <c r="N10" s="196"/>
      <c r="O10" s="196"/>
      <c r="P10" s="324"/>
      <c r="Q10" s="18"/>
      <c r="R10" s="18"/>
      <c r="S10" s="298"/>
      <c r="T10" s="298"/>
      <c r="U10" s="298"/>
    </row>
    <row r="11" spans="1:21">
      <c r="A11" s="19">
        <v>11</v>
      </c>
      <c r="B11" s="12" t="s">
        <v>37</v>
      </c>
      <c r="C11" s="13">
        <f t="shared" ref="C11:H11" si="9">C12+C13+C14</f>
        <v>4293726</v>
      </c>
      <c r="D11" s="13">
        <f t="shared" si="9"/>
        <v>4373315</v>
      </c>
      <c r="E11" s="13">
        <f t="shared" si="9"/>
        <v>4430537</v>
      </c>
      <c r="F11" s="13">
        <f t="shared" si="9"/>
        <v>4638259</v>
      </c>
      <c r="G11" s="13">
        <f t="shared" si="9"/>
        <v>4711330</v>
      </c>
      <c r="H11" s="13">
        <f t="shared" si="9"/>
        <v>4695673</v>
      </c>
      <c r="I11" s="13">
        <f t="shared" ref="I11:O11" si="10">I12+I13+I14</f>
        <v>4806307</v>
      </c>
      <c r="J11" s="13">
        <f t="shared" si="10"/>
        <v>4909909.07</v>
      </c>
      <c r="K11" s="13">
        <f t="shared" si="10"/>
        <v>13814270</v>
      </c>
      <c r="L11" s="198">
        <f t="shared" si="10"/>
        <v>13928839.870239999</v>
      </c>
      <c r="M11" s="198">
        <f t="shared" si="10"/>
        <v>14171191</v>
      </c>
      <c r="N11" s="198">
        <f t="shared" si="10"/>
        <v>14483532</v>
      </c>
      <c r="O11" s="198">
        <f t="shared" si="10"/>
        <v>14600244.728730001</v>
      </c>
      <c r="P11" s="198">
        <f t="shared" ref="P11:Q11" si="11">P12+P13+P14</f>
        <v>14573563.865</v>
      </c>
      <c r="Q11" s="13">
        <f t="shared" si="11"/>
        <v>15263316.163930001</v>
      </c>
      <c r="R11" s="13">
        <f t="shared" ref="R11" si="12">R12+R13+R14</f>
        <v>15344531.751110001</v>
      </c>
      <c r="S11" s="348">
        <f t="shared" ref="S11:T11" si="13">S12+S13+S14</f>
        <v>15255657.545709999</v>
      </c>
      <c r="T11" s="348">
        <f t="shared" si="13"/>
        <v>15358571.51785</v>
      </c>
      <c r="U11" s="348">
        <f t="shared" ref="U11" si="14">U12+U13+U14</f>
        <v>15399754.909969999</v>
      </c>
    </row>
    <row r="12" spans="1:21">
      <c r="A12" s="32">
        <v>114</v>
      </c>
      <c r="B12" s="21" t="s">
        <v>57</v>
      </c>
      <c r="C12" s="164">
        <v>2740115</v>
      </c>
      <c r="D12" s="164">
        <v>2901447</v>
      </c>
      <c r="E12" s="164">
        <v>2999495</v>
      </c>
      <c r="F12" s="164">
        <v>3125540</v>
      </c>
      <c r="G12" s="164">
        <v>3222397</v>
      </c>
      <c r="H12" s="164">
        <v>3278696</v>
      </c>
      <c r="I12" s="164">
        <v>3353718</v>
      </c>
      <c r="J12" s="115">
        <v>3266091.2620000001</v>
      </c>
      <c r="K12" s="115">
        <v>10845046</v>
      </c>
      <c r="L12" s="196">
        <v>10929911.012319999</v>
      </c>
      <c r="M12" s="196">
        <v>10999414</v>
      </c>
      <c r="N12" s="298">
        <v>11229430</v>
      </c>
      <c r="O12" s="298">
        <v>11248344.374300001</v>
      </c>
      <c r="P12" s="322">
        <v>11031108.546</v>
      </c>
      <c r="Q12" s="302">
        <v>13156065.210070001</v>
      </c>
      <c r="R12" s="302">
        <v>13038736.28052</v>
      </c>
      <c r="S12" s="298">
        <v>12792975.28187</v>
      </c>
      <c r="T12" s="298">
        <v>12656617.3552</v>
      </c>
      <c r="U12" s="298">
        <v>12562841.790059999</v>
      </c>
    </row>
    <row r="13" spans="1:21">
      <c r="A13" s="25">
        <v>115</v>
      </c>
      <c r="B13" s="26" t="s">
        <v>39</v>
      </c>
      <c r="C13" s="164">
        <v>1075009</v>
      </c>
      <c r="D13" s="164">
        <v>1003066</v>
      </c>
      <c r="E13" s="164">
        <v>941196</v>
      </c>
      <c r="F13" s="164">
        <v>1059942</v>
      </c>
      <c r="G13" s="164">
        <v>1054001</v>
      </c>
      <c r="H13" s="164">
        <v>1020449</v>
      </c>
      <c r="I13" s="164">
        <v>1070339</v>
      </c>
      <c r="J13" s="118">
        <v>1158762.084</v>
      </c>
      <c r="K13" s="118">
        <v>2572032</v>
      </c>
      <c r="L13" s="199">
        <v>2540669.1006200002</v>
      </c>
      <c r="M13" s="199">
        <v>2451028</v>
      </c>
      <c r="N13" s="300">
        <v>2467604</v>
      </c>
      <c r="O13" s="300">
        <v>2503060.52312</v>
      </c>
      <c r="P13" s="323">
        <v>2629943.5440000002</v>
      </c>
      <c r="Q13" s="302">
        <v>1307772.61461</v>
      </c>
      <c r="R13" s="302">
        <v>1493863.1739000001</v>
      </c>
      <c r="S13" s="300">
        <v>1619207.2837199999</v>
      </c>
      <c r="T13" s="300">
        <v>1754239.4029600001</v>
      </c>
      <c r="U13" s="300">
        <v>1810917.2319</v>
      </c>
    </row>
    <row r="14" spans="1:21">
      <c r="A14" s="33" t="s">
        <v>14</v>
      </c>
      <c r="B14" s="34" t="s">
        <v>53</v>
      </c>
      <c r="C14" s="164">
        <v>478602</v>
      </c>
      <c r="D14" s="164">
        <v>468802</v>
      </c>
      <c r="E14" s="164">
        <v>489846</v>
      </c>
      <c r="F14" s="164">
        <v>452777</v>
      </c>
      <c r="G14" s="164">
        <v>434932</v>
      </c>
      <c r="H14" s="164">
        <v>396528</v>
      </c>
      <c r="I14" s="164">
        <v>382250</v>
      </c>
      <c r="J14" s="118">
        <f>457994.466+27061.258</f>
        <v>485055.72400000005</v>
      </c>
      <c r="K14" s="118">
        <v>397192</v>
      </c>
      <c r="L14" s="196">
        <v>458259.7573</v>
      </c>
      <c r="M14" s="196">
        <v>720749</v>
      </c>
      <c r="N14" s="298">
        <v>786498</v>
      </c>
      <c r="O14" s="298">
        <v>848839.83131000004</v>
      </c>
      <c r="P14" s="322">
        <v>912511.77500000002</v>
      </c>
      <c r="Q14" s="302">
        <v>799478.33924999996</v>
      </c>
      <c r="R14" s="302">
        <v>811932.2966900001</v>
      </c>
      <c r="S14" s="298">
        <v>843474.98012000008</v>
      </c>
      <c r="T14" s="298">
        <v>947714.75969000009</v>
      </c>
      <c r="U14" s="298">
        <v>1025995.88801</v>
      </c>
    </row>
    <row r="15" spans="1:21">
      <c r="A15" s="35"/>
      <c r="B15" s="36"/>
      <c r="C15" s="30"/>
      <c r="D15" s="31"/>
      <c r="E15" s="30"/>
      <c r="F15" s="30"/>
      <c r="G15" s="149"/>
      <c r="H15" s="37"/>
      <c r="I15" s="156"/>
      <c r="J15" s="37"/>
      <c r="K15" s="37"/>
      <c r="L15" s="200"/>
      <c r="M15" s="200"/>
      <c r="N15" s="305"/>
      <c r="O15" s="305"/>
      <c r="P15" s="325"/>
      <c r="Q15" s="308"/>
      <c r="R15" s="308"/>
      <c r="S15" s="305"/>
      <c r="T15" s="305"/>
      <c r="U15" s="305"/>
    </row>
    <row r="16" spans="1:21">
      <c r="A16" s="11">
        <v>12</v>
      </c>
      <c r="B16" s="38" t="s">
        <v>41</v>
      </c>
      <c r="C16" s="13">
        <v>0</v>
      </c>
      <c r="D16" s="13">
        <v>114</v>
      </c>
      <c r="E16" s="13">
        <v>298</v>
      </c>
      <c r="F16" s="13">
        <v>374</v>
      </c>
      <c r="G16" s="13">
        <v>8364</v>
      </c>
      <c r="H16" s="13">
        <v>8837</v>
      </c>
      <c r="I16" s="13">
        <v>4231</v>
      </c>
      <c r="J16" s="105">
        <v>1493.711</v>
      </c>
      <c r="K16" s="105">
        <v>0</v>
      </c>
      <c r="L16" s="198">
        <v>0</v>
      </c>
      <c r="M16" s="198">
        <v>0</v>
      </c>
      <c r="N16" s="313">
        <v>0</v>
      </c>
      <c r="O16" s="313">
        <v>0</v>
      </c>
      <c r="P16" s="313">
        <v>0</v>
      </c>
      <c r="Q16" s="309">
        <v>0</v>
      </c>
      <c r="R16" s="309">
        <v>0</v>
      </c>
      <c r="S16" s="388">
        <v>0</v>
      </c>
      <c r="T16" s="388">
        <v>0</v>
      </c>
      <c r="U16" s="388">
        <v>0</v>
      </c>
    </row>
    <row r="17" spans="1:21">
      <c r="A17" s="39"/>
      <c r="B17" s="40"/>
      <c r="C17" s="16"/>
      <c r="D17" s="17"/>
      <c r="E17" s="16"/>
      <c r="F17" s="16"/>
      <c r="G17" s="91"/>
      <c r="H17" s="18"/>
      <c r="I17" s="18"/>
      <c r="J17" s="18"/>
      <c r="K17" s="18"/>
      <c r="L17" s="196"/>
      <c r="M17" s="196"/>
      <c r="N17" s="298"/>
      <c r="O17" s="298"/>
      <c r="P17" s="298"/>
      <c r="Q17" s="311"/>
      <c r="R17" s="311"/>
      <c r="S17" s="298"/>
      <c r="T17" s="298"/>
      <c r="U17" s="298"/>
    </row>
    <row r="18" spans="1:21">
      <c r="A18" s="11">
        <v>13</v>
      </c>
      <c r="B18" s="38" t="s">
        <v>42</v>
      </c>
      <c r="C18" s="13">
        <v>6601877</v>
      </c>
      <c r="D18" s="13">
        <v>6596694</v>
      </c>
      <c r="E18" s="13">
        <v>6584435</v>
      </c>
      <c r="F18" s="13">
        <v>7015670</v>
      </c>
      <c r="G18" s="13">
        <v>7338314</v>
      </c>
      <c r="H18" s="13">
        <v>7039799</v>
      </c>
      <c r="I18" s="13">
        <v>6937125</v>
      </c>
      <c r="J18" s="105">
        <v>6544083.2609999999</v>
      </c>
      <c r="K18" s="105">
        <v>0</v>
      </c>
      <c r="L18" s="198">
        <v>0</v>
      </c>
      <c r="M18" s="198">
        <v>0</v>
      </c>
      <c r="N18" s="313">
        <v>0</v>
      </c>
      <c r="O18" s="313">
        <v>0</v>
      </c>
      <c r="P18" s="313">
        <v>0</v>
      </c>
      <c r="Q18" s="309">
        <v>0</v>
      </c>
      <c r="R18" s="309">
        <v>0</v>
      </c>
      <c r="S18" s="388">
        <v>0</v>
      </c>
      <c r="T18" s="388">
        <v>0</v>
      </c>
      <c r="U18" s="388">
        <v>0</v>
      </c>
    </row>
    <row r="19" spans="1:21">
      <c r="A19" s="41"/>
      <c r="B19" s="42"/>
      <c r="C19" s="22"/>
      <c r="D19" s="23"/>
      <c r="E19" s="22"/>
      <c r="F19" s="22"/>
      <c r="G19" s="56"/>
      <c r="H19" s="18"/>
      <c r="I19" s="18"/>
      <c r="J19" s="18"/>
      <c r="K19" s="18"/>
      <c r="L19" s="196"/>
      <c r="M19" s="196"/>
      <c r="N19" s="298"/>
      <c r="O19" s="298"/>
      <c r="P19" s="298"/>
      <c r="Q19" s="311"/>
      <c r="R19" s="311"/>
      <c r="S19" s="298"/>
      <c r="T19" s="298"/>
      <c r="U19" s="298"/>
    </row>
    <row r="20" spans="1:21">
      <c r="A20" s="43"/>
      <c r="B20" s="36"/>
      <c r="C20" s="30"/>
      <c r="D20" s="31"/>
      <c r="E20" s="30"/>
      <c r="F20" s="30"/>
      <c r="G20" s="150"/>
      <c r="H20" s="37"/>
      <c r="I20" s="156"/>
      <c r="J20" s="37"/>
      <c r="K20" s="37"/>
      <c r="L20" s="200"/>
      <c r="M20" s="200"/>
      <c r="N20" s="305"/>
      <c r="O20" s="305"/>
      <c r="P20" s="305"/>
      <c r="Q20" s="308"/>
      <c r="R20" s="308"/>
      <c r="S20" s="305"/>
      <c r="T20" s="305"/>
      <c r="U20" s="305"/>
    </row>
    <row r="21" spans="1:21">
      <c r="A21" s="11">
        <v>2</v>
      </c>
      <c r="B21" s="38" t="s">
        <v>43</v>
      </c>
      <c r="C21" s="13">
        <f t="shared" ref="C21:H21" si="15">C23+C28+C30+C32+C34</f>
        <v>14872124</v>
      </c>
      <c r="D21" s="13">
        <f t="shared" si="15"/>
        <v>18909382</v>
      </c>
      <c r="E21" s="13">
        <f t="shared" si="15"/>
        <v>21601291</v>
      </c>
      <c r="F21" s="13">
        <f t="shared" si="15"/>
        <v>22865586</v>
      </c>
      <c r="G21" s="13">
        <f t="shared" si="15"/>
        <v>23946128</v>
      </c>
      <c r="H21" s="13">
        <f t="shared" si="15"/>
        <v>23805783</v>
      </c>
      <c r="I21" s="13">
        <f t="shared" ref="I21:O21" si="16">I23+I28+I30+I32+I34</f>
        <v>24585273</v>
      </c>
      <c r="J21" s="13">
        <f t="shared" si="16"/>
        <v>25692493.733999997</v>
      </c>
      <c r="K21" s="13">
        <f t="shared" si="16"/>
        <v>17912459</v>
      </c>
      <c r="L21" s="198">
        <f t="shared" si="16"/>
        <v>17353220.39029</v>
      </c>
      <c r="M21" s="198">
        <f t="shared" si="16"/>
        <v>17710517</v>
      </c>
      <c r="N21" s="198">
        <f t="shared" si="16"/>
        <v>18334948</v>
      </c>
      <c r="O21" s="198">
        <f t="shared" si="16"/>
        <v>19120864.361920003</v>
      </c>
      <c r="P21" s="198">
        <f t="shared" ref="P21:Q21" si="17">P23+P28+P30+P32+P34</f>
        <v>20764223.645999998</v>
      </c>
      <c r="Q21" s="13">
        <f t="shared" si="17"/>
        <v>20159621.193439998</v>
      </c>
      <c r="R21" s="13">
        <f t="shared" ref="R21:S21" si="18">R23+R28+R30+R32+R34</f>
        <v>19866327.821940001</v>
      </c>
      <c r="S21" s="348">
        <f t="shared" si="18"/>
        <v>19673317.711920008</v>
      </c>
      <c r="T21" s="348">
        <f t="shared" ref="T21" si="19">T23+T28+T30+T32+T34</f>
        <v>19609938.06631</v>
      </c>
      <c r="U21" s="348">
        <f t="shared" ref="U21" si="20">U23+U28+U30+U32+U34</f>
        <v>19742483.836329997</v>
      </c>
    </row>
    <row r="22" spans="1:21">
      <c r="A22" s="44"/>
      <c r="B22" s="45"/>
      <c r="C22" s="16"/>
      <c r="D22" s="17"/>
      <c r="E22" s="16"/>
      <c r="F22" s="16"/>
      <c r="G22" s="56"/>
      <c r="H22" s="18"/>
      <c r="I22" s="18"/>
      <c r="J22" s="18"/>
      <c r="K22" s="18"/>
      <c r="L22" s="196"/>
      <c r="M22" s="196"/>
      <c r="N22" s="196"/>
      <c r="O22" s="196"/>
      <c r="P22" s="196"/>
      <c r="Q22" s="18"/>
      <c r="R22" s="18"/>
      <c r="S22" s="298"/>
      <c r="T22" s="298"/>
      <c r="U22" s="298"/>
    </row>
    <row r="23" spans="1:21">
      <c r="A23" s="46">
        <v>20</v>
      </c>
      <c r="B23" s="47" t="s">
        <v>44</v>
      </c>
      <c r="C23" s="13">
        <f t="shared" ref="C23:H23" si="21">C24+C25+C26</f>
        <v>10963622</v>
      </c>
      <c r="D23" s="13">
        <f t="shared" si="21"/>
        <v>14897869</v>
      </c>
      <c r="E23" s="13">
        <f t="shared" si="21"/>
        <v>18009611</v>
      </c>
      <c r="F23" s="13">
        <f t="shared" si="21"/>
        <v>20202803</v>
      </c>
      <c r="G23" s="13">
        <f t="shared" si="21"/>
        <v>21745781</v>
      </c>
      <c r="H23" s="13">
        <f t="shared" si="21"/>
        <v>22112166</v>
      </c>
      <c r="I23" s="13">
        <f t="shared" ref="I23:O23" si="22">I24+I25+I26</f>
        <v>22782522</v>
      </c>
      <c r="J23" s="13">
        <f t="shared" si="22"/>
        <v>23533831.894999996</v>
      </c>
      <c r="K23" s="13">
        <f t="shared" si="22"/>
        <v>14535396</v>
      </c>
      <c r="L23" s="198">
        <f t="shared" si="22"/>
        <v>13750651.59708</v>
      </c>
      <c r="M23" s="198">
        <f t="shared" si="22"/>
        <v>13838335</v>
      </c>
      <c r="N23" s="198">
        <f t="shared" si="22"/>
        <v>14356640</v>
      </c>
      <c r="O23" s="198">
        <f t="shared" si="22"/>
        <v>14939883.146010002</v>
      </c>
      <c r="P23" s="198">
        <f t="shared" ref="P23:Q23" si="23">P24+P25+P26</f>
        <v>17494363.163000003</v>
      </c>
      <c r="Q23" s="13">
        <f t="shared" si="23"/>
        <v>17067197.858969998</v>
      </c>
      <c r="R23" s="13">
        <f t="shared" ref="R23:S23" si="24">R24+R25+R26</f>
        <v>16545105.936390001</v>
      </c>
      <c r="S23" s="348">
        <f t="shared" si="24"/>
        <v>16251356.36067</v>
      </c>
      <c r="T23" s="348">
        <f t="shared" ref="T23" si="25">T24+T25+T26</f>
        <v>16087268.548240002</v>
      </c>
      <c r="U23" s="348">
        <f t="shared" ref="U23" si="26">U24+U25+U26</f>
        <v>15750131.297009999</v>
      </c>
    </row>
    <row r="24" spans="1:21">
      <c r="A24" s="48" t="s">
        <v>20</v>
      </c>
      <c r="B24" s="49" t="s">
        <v>58</v>
      </c>
      <c r="C24" s="164">
        <v>2454971</v>
      </c>
      <c r="D24" s="164">
        <v>6461375</v>
      </c>
      <c r="E24" s="164">
        <v>10635036</v>
      </c>
      <c r="F24" s="164">
        <v>10696585</v>
      </c>
      <c r="G24" s="164">
        <v>10927449</v>
      </c>
      <c r="H24" s="164">
        <v>10196408</v>
      </c>
      <c r="I24" s="164">
        <v>10494634</v>
      </c>
      <c r="J24" s="115">
        <f>10996285.359+719900</f>
        <v>11716185.358999999</v>
      </c>
      <c r="K24" s="115">
        <v>5044741</v>
      </c>
      <c r="L24" s="196">
        <v>5172417.8401499996</v>
      </c>
      <c r="M24" s="196">
        <v>5084311</v>
      </c>
      <c r="N24" s="298">
        <v>5938122</v>
      </c>
      <c r="O24" s="298">
        <v>5839879.6276400005</v>
      </c>
      <c r="P24" s="322">
        <v>7484427.4510000004</v>
      </c>
      <c r="Q24" s="302">
        <v>5945007.3322299998</v>
      </c>
      <c r="R24" s="302">
        <v>5663497.3354599997</v>
      </c>
      <c r="S24" s="298">
        <v>5610393.5283599999</v>
      </c>
      <c r="T24" s="298">
        <v>5027049.55535</v>
      </c>
      <c r="U24" s="298">
        <v>5284296.894749999</v>
      </c>
    </row>
    <row r="25" spans="1:21">
      <c r="A25" s="50">
        <v>202</v>
      </c>
      <c r="B25" s="51" t="s">
        <v>59</v>
      </c>
      <c r="C25" s="164">
        <v>7950242</v>
      </c>
      <c r="D25" s="164">
        <v>7700182</v>
      </c>
      <c r="E25" s="164">
        <v>6794795</v>
      </c>
      <c r="F25" s="164">
        <v>8921393</v>
      </c>
      <c r="G25" s="164">
        <v>10082961</v>
      </c>
      <c r="H25" s="164">
        <v>11506943</v>
      </c>
      <c r="I25" s="164">
        <v>11876601</v>
      </c>
      <c r="J25" s="118">
        <v>11426600.5</v>
      </c>
      <c r="K25" s="118">
        <v>9165621</v>
      </c>
      <c r="L25" s="199">
        <v>8197396.7569300001</v>
      </c>
      <c r="M25" s="199">
        <v>8332784</v>
      </c>
      <c r="N25" s="300">
        <v>8082607</v>
      </c>
      <c r="O25" s="300">
        <v>8744721</v>
      </c>
      <c r="P25" s="323">
        <v>9675127.5659999996</v>
      </c>
      <c r="Q25" s="302">
        <v>10840322.441639999</v>
      </c>
      <c r="R25" s="302">
        <v>10595425.515520001</v>
      </c>
      <c r="S25" s="300">
        <v>10381674.977120001</v>
      </c>
      <c r="T25" s="300">
        <v>10831809.721570002</v>
      </c>
      <c r="U25" s="300">
        <v>10244092.1085</v>
      </c>
    </row>
    <row r="26" spans="1:21">
      <c r="A26" s="50">
        <v>205</v>
      </c>
      <c r="B26" s="52" t="s">
        <v>60</v>
      </c>
      <c r="C26" s="164">
        <v>558409</v>
      </c>
      <c r="D26" s="164">
        <v>736312</v>
      </c>
      <c r="E26" s="164">
        <v>579780</v>
      </c>
      <c r="F26" s="164">
        <v>584825</v>
      </c>
      <c r="G26" s="164">
        <v>735371</v>
      </c>
      <c r="H26" s="164">
        <v>408815</v>
      </c>
      <c r="I26" s="164">
        <v>411287</v>
      </c>
      <c r="J26" s="118">
        <v>391046.03600000002</v>
      </c>
      <c r="K26" s="118">
        <v>325034</v>
      </c>
      <c r="L26" s="196">
        <v>380837</v>
      </c>
      <c r="M26" s="196">
        <v>421240</v>
      </c>
      <c r="N26" s="298">
        <v>335911</v>
      </c>
      <c r="O26" s="298">
        <v>355282.51837000001</v>
      </c>
      <c r="P26" s="322">
        <v>334808.14600000001</v>
      </c>
      <c r="Q26" s="302">
        <v>281868.08510000003</v>
      </c>
      <c r="R26" s="302">
        <v>286183.08540999994</v>
      </c>
      <c r="S26" s="298">
        <v>259287.85518999997</v>
      </c>
      <c r="T26" s="298">
        <v>228409.27132000003</v>
      </c>
      <c r="U26" s="298">
        <v>221742.29376</v>
      </c>
    </row>
    <row r="27" spans="1:21">
      <c r="A27" s="35"/>
      <c r="B27" s="36"/>
      <c r="C27" s="30"/>
      <c r="D27" s="31"/>
      <c r="E27" s="30"/>
      <c r="F27" s="30"/>
      <c r="G27" s="150"/>
      <c r="H27" s="37"/>
      <c r="I27" s="156"/>
      <c r="J27" s="37"/>
      <c r="K27" s="37"/>
      <c r="L27" s="200"/>
      <c r="M27" s="200"/>
      <c r="N27" s="305"/>
      <c r="O27" s="305"/>
      <c r="P27" s="325"/>
      <c r="Q27" s="308"/>
      <c r="R27" s="308"/>
      <c r="S27" s="305"/>
      <c r="T27" s="305"/>
      <c r="U27" s="305"/>
    </row>
    <row r="28" spans="1:21">
      <c r="A28" s="11">
        <v>23</v>
      </c>
      <c r="B28" s="38" t="s">
        <v>48</v>
      </c>
      <c r="C28" s="13">
        <v>283301</v>
      </c>
      <c r="D28" s="13">
        <v>441869</v>
      </c>
      <c r="E28" s="13">
        <v>345575</v>
      </c>
      <c r="F28" s="13">
        <v>268582</v>
      </c>
      <c r="G28" s="13">
        <v>239411</v>
      </c>
      <c r="H28" s="13">
        <v>131141</v>
      </c>
      <c r="I28" s="13">
        <v>216467</v>
      </c>
      <c r="J28" s="105">
        <v>210652.37899999999</v>
      </c>
      <c r="K28" s="105">
        <v>96769</v>
      </c>
      <c r="L28" s="198">
        <v>61442.623500000002</v>
      </c>
      <c r="M28" s="198">
        <v>52621</v>
      </c>
      <c r="N28" s="313">
        <v>38864</v>
      </c>
      <c r="O28" s="313">
        <v>32171.293120000002</v>
      </c>
      <c r="P28" s="313">
        <v>271055.641</v>
      </c>
      <c r="Q28" s="309"/>
      <c r="R28" s="309"/>
      <c r="S28" s="388"/>
      <c r="T28" s="388"/>
      <c r="U28" s="388"/>
    </row>
    <row r="29" spans="1:21">
      <c r="A29" s="53"/>
      <c r="B29" s="40"/>
      <c r="C29" s="16"/>
      <c r="D29" s="17"/>
      <c r="E29" s="16"/>
      <c r="F29" s="16"/>
      <c r="G29" s="148"/>
      <c r="H29" s="18"/>
      <c r="I29" s="18"/>
      <c r="J29" s="18"/>
      <c r="K29" s="18"/>
      <c r="L29" s="196"/>
      <c r="M29" s="196"/>
      <c r="N29" s="298"/>
      <c r="O29" s="298"/>
      <c r="P29" s="322"/>
      <c r="Q29" s="311"/>
      <c r="R29" s="311"/>
      <c r="S29" s="298"/>
      <c r="T29" s="298"/>
      <c r="U29" s="298"/>
    </row>
    <row r="30" spans="1:21">
      <c r="A30" s="11">
        <v>24</v>
      </c>
      <c r="B30" s="38" t="s">
        <v>49</v>
      </c>
      <c r="C30" s="13">
        <v>3520439</v>
      </c>
      <c r="D30" s="13">
        <v>3477458</v>
      </c>
      <c r="E30" s="13">
        <v>3149968</v>
      </c>
      <c r="F30" s="13">
        <v>2293334</v>
      </c>
      <c r="G30" s="13">
        <v>1851182</v>
      </c>
      <c r="H30" s="13">
        <v>1451722</v>
      </c>
      <c r="I30" s="13">
        <v>1373384</v>
      </c>
      <c r="J30" s="105">
        <v>1330576.541</v>
      </c>
      <c r="K30" s="105">
        <v>660237</v>
      </c>
      <c r="L30" s="198">
        <v>585904.43110000005</v>
      </c>
      <c r="M30" s="198">
        <v>616277</v>
      </c>
      <c r="N30" s="313">
        <v>579955</v>
      </c>
      <c r="O30" s="313">
        <v>1394458.0601999999</v>
      </c>
      <c r="P30" s="313">
        <v>280516.46799999999</v>
      </c>
      <c r="Q30" s="309">
        <v>450891.76879999996</v>
      </c>
      <c r="R30" s="309">
        <v>705168.79772000003</v>
      </c>
      <c r="S30" s="388">
        <v>761287.28353999997</v>
      </c>
      <c r="T30" s="388">
        <v>749341.58868000004</v>
      </c>
      <c r="U30" s="388">
        <v>898163.83321999991</v>
      </c>
    </row>
    <row r="31" spans="1:21">
      <c r="A31" s="44"/>
      <c r="B31" s="45"/>
      <c r="C31" s="164"/>
      <c r="D31" s="17"/>
      <c r="E31" s="16"/>
      <c r="F31" s="16"/>
      <c r="G31" s="13"/>
      <c r="H31" s="18"/>
      <c r="I31" s="18"/>
      <c r="J31" s="18"/>
      <c r="K31" s="18"/>
      <c r="L31" s="196"/>
      <c r="M31" s="196"/>
      <c r="N31" s="298"/>
      <c r="O31" s="298"/>
      <c r="P31" s="322"/>
      <c r="Q31" s="311"/>
      <c r="R31" s="311"/>
      <c r="S31" s="298"/>
      <c r="T31" s="298"/>
      <c r="U31" s="298"/>
    </row>
    <row r="32" spans="1:21">
      <c r="A32" s="54">
        <v>28</v>
      </c>
      <c r="B32" s="47" t="s">
        <v>54</v>
      </c>
      <c r="C32" s="13">
        <v>104762</v>
      </c>
      <c r="D32" s="13">
        <v>92186</v>
      </c>
      <c r="E32" s="13">
        <v>96137</v>
      </c>
      <c r="F32" s="13">
        <v>100867</v>
      </c>
      <c r="G32" s="13">
        <v>109754</v>
      </c>
      <c r="H32" s="13">
        <v>110754</v>
      </c>
      <c r="I32" s="13">
        <v>110225</v>
      </c>
      <c r="J32" s="105">
        <v>121716.91899999999</v>
      </c>
      <c r="K32" s="105">
        <v>0</v>
      </c>
      <c r="L32" s="198">
        <v>0</v>
      </c>
      <c r="M32" s="198">
        <v>0</v>
      </c>
      <c r="N32" s="313"/>
      <c r="O32" s="313">
        <v>0</v>
      </c>
      <c r="P32" s="313">
        <v>0</v>
      </c>
      <c r="Q32" s="309">
        <v>20488.69167</v>
      </c>
      <c r="R32" s="309">
        <v>66690.439689999999</v>
      </c>
      <c r="S32" s="388">
        <v>78178.355340000009</v>
      </c>
      <c r="T32" s="388">
        <v>88078.653999999995</v>
      </c>
      <c r="U32" s="388">
        <v>94620.052280000004</v>
      </c>
    </row>
    <row r="33" spans="1:21">
      <c r="A33" s="53"/>
      <c r="B33" s="40"/>
      <c r="C33" s="16"/>
      <c r="D33" s="17"/>
      <c r="E33" s="16"/>
      <c r="F33" s="16"/>
      <c r="G33" s="13"/>
      <c r="H33" s="18"/>
      <c r="I33" s="18"/>
      <c r="J33" s="18"/>
      <c r="K33" s="18"/>
      <c r="L33" s="196"/>
      <c r="M33" s="196"/>
      <c r="N33" s="298"/>
      <c r="O33" s="298"/>
      <c r="P33" s="322"/>
      <c r="Q33" s="311"/>
      <c r="R33" s="311"/>
      <c r="S33" s="298"/>
      <c r="T33" s="298"/>
      <c r="U33" s="298"/>
    </row>
    <row r="34" spans="1:21">
      <c r="A34" s="11">
        <v>29</v>
      </c>
      <c r="B34" s="38" t="s">
        <v>51</v>
      </c>
      <c r="C34" s="13">
        <v>0</v>
      </c>
      <c r="D34" s="13">
        <v>0</v>
      </c>
      <c r="E34" s="13">
        <v>0</v>
      </c>
      <c r="F34" s="13">
        <v>0</v>
      </c>
      <c r="G34" s="13">
        <v>0</v>
      </c>
      <c r="H34" s="13">
        <v>0</v>
      </c>
      <c r="I34" s="13">
        <v>102675</v>
      </c>
      <c r="J34" s="105">
        <v>495716</v>
      </c>
      <c r="K34" s="105">
        <v>2620057</v>
      </c>
      <c r="L34" s="198">
        <v>2955221.7386099999</v>
      </c>
      <c r="M34" s="198">
        <v>3203284</v>
      </c>
      <c r="N34" s="313">
        <v>3359489</v>
      </c>
      <c r="O34" s="313">
        <v>2754351.86259</v>
      </c>
      <c r="P34" s="313">
        <v>2718288.3739999998</v>
      </c>
      <c r="Q34" s="309">
        <v>2621042.8739999998</v>
      </c>
      <c r="R34" s="309">
        <v>2549362.6481399992</v>
      </c>
      <c r="S34" s="388">
        <v>2582495.7123700101</v>
      </c>
      <c r="T34" s="388">
        <v>2685249.2753900005</v>
      </c>
      <c r="U34" s="388">
        <v>2999568.6538199997</v>
      </c>
    </row>
    <row r="35" spans="1:21">
      <c r="A35" s="131"/>
      <c r="B35" s="132"/>
      <c r="C35" s="133"/>
      <c r="D35" s="143"/>
      <c r="E35" s="133"/>
      <c r="F35" s="159"/>
      <c r="G35" s="133"/>
      <c r="H35" s="18"/>
      <c r="I35" s="18"/>
      <c r="J35" s="226"/>
      <c r="K35" s="226"/>
      <c r="L35" s="167"/>
      <c r="M35" s="167"/>
      <c r="N35" s="167"/>
      <c r="O35" s="167"/>
      <c r="P35" s="167"/>
      <c r="Q35" s="311"/>
      <c r="R35" s="311"/>
      <c r="S35" s="360"/>
      <c r="T35" s="360"/>
      <c r="U35" s="360"/>
    </row>
    <row r="36" spans="1:21">
      <c r="A36" s="176"/>
      <c r="B36" s="177" t="s">
        <v>86</v>
      </c>
      <c r="C36" s="178"/>
      <c r="D36" s="179"/>
      <c r="E36" s="178"/>
      <c r="F36" s="174"/>
      <c r="G36" s="178"/>
      <c r="H36" s="180"/>
      <c r="I36" s="180"/>
      <c r="J36" s="102"/>
      <c r="K36" s="102"/>
      <c r="L36" s="225"/>
      <c r="M36" s="225"/>
      <c r="N36" s="225"/>
      <c r="O36" s="225"/>
      <c r="P36" s="225"/>
      <c r="Q36" s="341"/>
      <c r="R36" s="341"/>
      <c r="S36" s="362"/>
      <c r="T36" s="362"/>
      <c r="U36" s="362"/>
    </row>
    <row r="37" spans="1:21">
      <c r="A37" s="181"/>
      <c r="B37" s="181"/>
      <c r="C37" s="182"/>
      <c r="D37" s="182"/>
      <c r="E37" s="182"/>
      <c r="F37" s="182"/>
      <c r="G37" s="182"/>
      <c r="H37" s="182"/>
      <c r="I37" s="182"/>
    </row>
  </sheetData>
  <sheetProtection selectLockedCells="1" sort="0" autoFilter="0" pivotTables="0"/>
  <phoneticPr fontId="12"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3" width="11.42578125" style="2"/>
    <col min="14" max="14" width="16.7109375" style="2" customWidth="1"/>
    <col min="15"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
        <v>2007</v>
      </c>
      <c r="K1" s="1">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73</v>
      </c>
      <c r="C2" s="79"/>
      <c r="D2" s="79"/>
      <c r="E2" s="79"/>
      <c r="F2" s="79"/>
      <c r="G2" s="79"/>
      <c r="H2" s="79"/>
      <c r="I2" s="79"/>
      <c r="J2" s="353"/>
      <c r="K2" s="353"/>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304643</v>
      </c>
      <c r="D4" s="228">
        <f t="shared" si="0"/>
        <v>250850</v>
      </c>
      <c r="E4" s="228">
        <f t="shared" si="0"/>
        <v>250025</v>
      </c>
      <c r="F4" s="228">
        <f t="shared" si="0"/>
        <v>297750</v>
      </c>
      <c r="G4" s="228">
        <f t="shared" si="0"/>
        <v>330192</v>
      </c>
      <c r="H4" s="228">
        <f t="shared" si="0"/>
        <v>342841</v>
      </c>
      <c r="I4" s="198">
        <f t="shared" ref="I4:O4" si="1">I6+I11+I16+I18</f>
        <v>325466</v>
      </c>
      <c r="J4" s="198">
        <f t="shared" si="1"/>
        <v>321009</v>
      </c>
      <c r="K4" s="198">
        <f t="shared" si="1"/>
        <v>447297</v>
      </c>
      <c r="L4" s="198">
        <f t="shared" si="1"/>
        <v>507660</v>
      </c>
      <c r="M4" s="198">
        <f t="shared" si="1"/>
        <v>469099</v>
      </c>
      <c r="N4" s="198">
        <f t="shared" si="1"/>
        <v>1738886.2628899999</v>
      </c>
      <c r="O4" s="198">
        <f t="shared" si="1"/>
        <v>570919.69999999995</v>
      </c>
      <c r="P4" s="198">
        <f t="shared" ref="P4:Q4" si="2">P6+P11+P16+P18</f>
        <v>564302.22000000009</v>
      </c>
      <c r="Q4" s="13">
        <f t="shared" si="2"/>
        <v>576503</v>
      </c>
      <c r="R4" s="13">
        <f t="shared" ref="R4" si="3">R6+R11+R16+R18</f>
        <v>561225.69999999995</v>
      </c>
      <c r="S4" s="348">
        <f t="shared" ref="S4:T4" si="4">S6+S11+S16+S18</f>
        <v>573937</v>
      </c>
      <c r="T4" s="348">
        <f t="shared" si="4"/>
        <v>581226.1</v>
      </c>
      <c r="U4" s="348">
        <f t="shared" ref="U4" si="5">U6+U11+U16+U18</f>
        <v>562942</v>
      </c>
    </row>
    <row r="5" spans="1:21">
      <c r="A5" s="14"/>
      <c r="B5" s="15"/>
      <c r="C5" s="229"/>
      <c r="D5" s="230"/>
      <c r="E5" s="229"/>
      <c r="F5" s="229"/>
      <c r="G5" s="27"/>
      <c r="H5" s="196"/>
      <c r="I5" s="196"/>
      <c r="J5" s="235"/>
      <c r="K5" s="235"/>
      <c r="L5" s="196"/>
      <c r="M5" s="196"/>
      <c r="N5" s="196"/>
      <c r="O5" s="196"/>
      <c r="P5" s="196"/>
      <c r="Q5" s="18"/>
      <c r="R5" s="18"/>
      <c r="S5" s="298"/>
      <c r="T5" s="298"/>
      <c r="U5" s="298"/>
    </row>
    <row r="6" spans="1:21">
      <c r="A6" s="19">
        <v>10</v>
      </c>
      <c r="B6" s="12" t="s">
        <v>6</v>
      </c>
      <c r="C6" s="198">
        <f t="shared" ref="C6:H6" si="6">C7+C8+C9</f>
        <v>164514</v>
      </c>
      <c r="D6" s="198">
        <f t="shared" si="6"/>
        <v>97140</v>
      </c>
      <c r="E6" s="198">
        <f t="shared" si="6"/>
        <v>72427</v>
      </c>
      <c r="F6" s="198">
        <f t="shared" si="6"/>
        <v>97559</v>
      </c>
      <c r="G6" s="198">
        <f t="shared" si="6"/>
        <v>107174</v>
      </c>
      <c r="H6" s="198">
        <f t="shared" si="6"/>
        <v>139665</v>
      </c>
      <c r="I6" s="198">
        <f t="shared" ref="I6:N6" si="7">I7+I8+I9</f>
        <v>118581</v>
      </c>
      <c r="J6" s="198">
        <f t="shared" si="7"/>
        <v>120425</v>
      </c>
      <c r="K6" s="198">
        <f t="shared" si="7"/>
        <v>235388</v>
      </c>
      <c r="L6" s="198">
        <f t="shared" si="7"/>
        <v>289681</v>
      </c>
      <c r="M6" s="198">
        <f t="shared" si="7"/>
        <v>299923</v>
      </c>
      <c r="N6" s="198">
        <f t="shared" si="7"/>
        <v>1539614.2628899999</v>
      </c>
      <c r="O6" s="198">
        <f t="shared" ref="O6:T6" si="8">O7+O8+O9</f>
        <v>368619.89999999997</v>
      </c>
      <c r="P6" s="198">
        <f t="shared" si="8"/>
        <v>372025.92000000004</v>
      </c>
      <c r="Q6" s="13">
        <f t="shared" si="8"/>
        <v>374973</v>
      </c>
      <c r="R6" s="13">
        <f t="shared" si="8"/>
        <v>356564.2</v>
      </c>
      <c r="S6" s="348">
        <f t="shared" si="8"/>
        <v>365725</v>
      </c>
      <c r="T6" s="348">
        <f t="shared" si="8"/>
        <v>384215.7</v>
      </c>
      <c r="U6" s="348">
        <f t="shared" ref="U6" si="9">U7+U8+U9</f>
        <v>364997</v>
      </c>
    </row>
    <row r="7" spans="1:21">
      <c r="A7" s="20" t="s">
        <v>7</v>
      </c>
      <c r="B7" s="21" t="s">
        <v>8</v>
      </c>
      <c r="C7" s="231">
        <v>152455</v>
      </c>
      <c r="D7" s="231">
        <v>62932</v>
      </c>
      <c r="E7" s="231">
        <v>39667</v>
      </c>
      <c r="F7" s="231">
        <v>53740</v>
      </c>
      <c r="G7" s="231">
        <v>74658</v>
      </c>
      <c r="H7" s="231">
        <v>47392</v>
      </c>
      <c r="I7" s="231">
        <f>20998+36473</f>
        <v>57471</v>
      </c>
      <c r="J7" s="24">
        <v>52229</v>
      </c>
      <c r="K7" s="24">
        <v>66776</v>
      </c>
      <c r="L7" s="196">
        <f>50+38322+30204+31303+15911+10000+3-2</f>
        <v>125791</v>
      </c>
      <c r="M7" s="196">
        <v>88017</v>
      </c>
      <c r="N7" s="298">
        <v>1252114.66289</v>
      </c>
      <c r="O7" s="298">
        <v>89762</v>
      </c>
      <c r="P7" s="298">
        <v>79002</v>
      </c>
      <c r="Q7" s="302">
        <v>86408</v>
      </c>
      <c r="R7" s="302">
        <v>89165.9</v>
      </c>
      <c r="S7" s="298">
        <v>102861</v>
      </c>
      <c r="T7" s="298">
        <v>103852.3</v>
      </c>
      <c r="U7" s="298">
        <v>110943</v>
      </c>
    </row>
    <row r="8" spans="1:21">
      <c r="A8" s="25">
        <v>102</v>
      </c>
      <c r="B8" s="26" t="s">
        <v>9</v>
      </c>
      <c r="C8" s="231">
        <v>10548</v>
      </c>
      <c r="D8" s="231">
        <v>10746</v>
      </c>
      <c r="E8" s="231">
        <v>11145</v>
      </c>
      <c r="F8" s="231">
        <v>16869</v>
      </c>
      <c r="G8" s="231">
        <v>12040</v>
      </c>
      <c r="H8" s="231">
        <v>68019</v>
      </c>
      <c r="I8" s="231">
        <f>39295</f>
        <v>39295</v>
      </c>
      <c r="J8" s="24">
        <v>27334</v>
      </c>
      <c r="K8" s="24">
        <v>150198</v>
      </c>
      <c r="L8" s="199">
        <f>196+139140+4432+3428</f>
        <v>147196</v>
      </c>
      <c r="M8" s="199">
        <v>200071</v>
      </c>
      <c r="N8" s="300">
        <f>261798.9+2494.2+4615.6+11405</f>
        <v>280313.69999999995</v>
      </c>
      <c r="O8" s="300">
        <v>275657.59999999998</v>
      </c>
      <c r="P8" s="300">
        <v>283384.52</v>
      </c>
      <c r="Q8" s="302">
        <v>285479</v>
      </c>
      <c r="R8" s="302">
        <v>262582.10000000003</v>
      </c>
      <c r="S8" s="300">
        <v>258520</v>
      </c>
      <c r="T8" s="300">
        <v>276762</v>
      </c>
      <c r="U8" s="300">
        <v>250310</v>
      </c>
    </row>
    <row r="9" spans="1:21">
      <c r="A9" s="25">
        <v>103</v>
      </c>
      <c r="B9" s="26" t="s">
        <v>10</v>
      </c>
      <c r="C9" s="231">
        <v>1511</v>
      </c>
      <c r="D9" s="231">
        <v>23462</v>
      </c>
      <c r="E9" s="231">
        <v>21615</v>
      </c>
      <c r="F9" s="231">
        <v>26950</v>
      </c>
      <c r="G9" s="231">
        <v>20476</v>
      </c>
      <c r="H9" s="231">
        <v>24254</v>
      </c>
      <c r="I9" s="231">
        <v>21815</v>
      </c>
      <c r="J9" s="24">
        <v>40862</v>
      </c>
      <c r="K9" s="24">
        <v>18414</v>
      </c>
      <c r="L9" s="196">
        <v>16694</v>
      </c>
      <c r="M9" s="196">
        <v>11835</v>
      </c>
      <c r="N9" s="298">
        <f>736.1+5027.4+511+911.4</f>
        <v>7185.9</v>
      </c>
      <c r="O9" s="298">
        <v>3200.3</v>
      </c>
      <c r="P9" s="298">
        <v>9639.4</v>
      </c>
      <c r="Q9" s="302">
        <v>3086</v>
      </c>
      <c r="R9" s="302">
        <v>4816.2</v>
      </c>
      <c r="S9" s="298">
        <v>4344</v>
      </c>
      <c r="T9" s="298">
        <v>3601.4</v>
      </c>
      <c r="U9" s="298">
        <v>3744</v>
      </c>
    </row>
    <row r="10" spans="1:21">
      <c r="A10" s="28"/>
      <c r="B10" s="29"/>
      <c r="C10" s="232"/>
      <c r="D10" s="233"/>
      <c r="E10" s="232"/>
      <c r="F10" s="232"/>
      <c r="G10" s="27"/>
      <c r="H10" s="196"/>
      <c r="I10" s="196"/>
      <c r="J10" s="238"/>
      <c r="K10" s="238"/>
      <c r="L10" s="196"/>
      <c r="M10" s="196"/>
      <c r="N10" s="196"/>
      <c r="O10" s="196"/>
      <c r="P10" s="196"/>
      <c r="Q10" s="18"/>
      <c r="R10" s="18"/>
      <c r="S10" s="298"/>
      <c r="T10" s="298"/>
      <c r="U10" s="298"/>
    </row>
    <row r="11" spans="1:21">
      <c r="A11" s="19">
        <v>11</v>
      </c>
      <c r="B11" s="12" t="s">
        <v>11</v>
      </c>
      <c r="C11" s="198">
        <f t="shared" ref="C11:H11" si="10">C12+C13+C14</f>
        <v>140129</v>
      </c>
      <c r="D11" s="198">
        <f t="shared" si="10"/>
        <v>153710</v>
      </c>
      <c r="E11" s="198">
        <f t="shared" si="10"/>
        <v>176104</v>
      </c>
      <c r="F11" s="198">
        <f t="shared" si="10"/>
        <v>181848</v>
      </c>
      <c r="G11" s="198">
        <f t="shared" si="10"/>
        <v>184549</v>
      </c>
      <c r="H11" s="198">
        <f t="shared" si="10"/>
        <v>203176</v>
      </c>
      <c r="I11" s="198">
        <f t="shared" ref="I11:N11" si="11">I12+I13+I14</f>
        <v>206885</v>
      </c>
      <c r="J11" s="198">
        <f t="shared" si="11"/>
        <v>200584</v>
      </c>
      <c r="K11" s="198">
        <f t="shared" si="11"/>
        <v>211909</v>
      </c>
      <c r="L11" s="198">
        <f t="shared" si="11"/>
        <v>217979</v>
      </c>
      <c r="M11" s="198">
        <f t="shared" si="11"/>
        <v>169176</v>
      </c>
      <c r="N11" s="198">
        <f t="shared" si="11"/>
        <v>199272</v>
      </c>
      <c r="O11" s="198">
        <f>O12+O13+O14</f>
        <v>202299.8</v>
      </c>
      <c r="P11" s="198">
        <f>P12+P13+P14</f>
        <v>192276.30000000002</v>
      </c>
      <c r="Q11" s="13">
        <f t="shared" ref="Q11" si="12">Q12+Q13+Q14</f>
        <v>201530</v>
      </c>
      <c r="R11" s="13">
        <f t="shared" ref="R11" si="13">R12+R13+R14</f>
        <v>204661.5</v>
      </c>
      <c r="S11" s="348">
        <f t="shared" ref="S11:T11" si="14">S12+S13+S14</f>
        <v>208212</v>
      </c>
      <c r="T11" s="348">
        <f t="shared" si="14"/>
        <v>197010.4</v>
      </c>
      <c r="U11" s="348">
        <f t="shared" ref="U11" si="15">U12+U13+U14</f>
        <v>197945</v>
      </c>
    </row>
    <row r="12" spans="1:21">
      <c r="A12" s="32">
        <v>114</v>
      </c>
      <c r="B12" s="21" t="s">
        <v>12</v>
      </c>
      <c r="C12" s="231">
        <v>44576</v>
      </c>
      <c r="D12" s="231">
        <v>57000</v>
      </c>
      <c r="E12" s="231">
        <v>66325</v>
      </c>
      <c r="F12" s="231">
        <v>68491</v>
      </c>
      <c r="G12" s="231">
        <v>62171</v>
      </c>
      <c r="H12" s="231">
        <v>73266</v>
      </c>
      <c r="I12" s="231">
        <v>75714</v>
      </c>
      <c r="J12" s="24">
        <v>75056</v>
      </c>
      <c r="K12" s="24">
        <v>59845</v>
      </c>
      <c r="L12" s="196">
        <f>-459+57389+3629</f>
        <v>60559</v>
      </c>
      <c r="M12" s="196">
        <v>55994</v>
      </c>
      <c r="N12" s="298">
        <f>-1994.6+22697.2</f>
        <v>20702.600000000002</v>
      </c>
      <c r="O12" s="298">
        <v>18056.599999999999</v>
      </c>
      <c r="P12" s="298">
        <v>15310.2</v>
      </c>
      <c r="Q12" s="302">
        <v>20387</v>
      </c>
      <c r="R12" s="302">
        <v>25336.5</v>
      </c>
      <c r="S12" s="298">
        <v>25071</v>
      </c>
      <c r="T12" s="298">
        <v>29085.599999999999</v>
      </c>
      <c r="U12" s="298">
        <v>40009</v>
      </c>
    </row>
    <row r="13" spans="1:21">
      <c r="A13" s="25">
        <v>115</v>
      </c>
      <c r="B13" s="26" t="s">
        <v>13</v>
      </c>
      <c r="C13" s="231">
        <v>95553</v>
      </c>
      <c r="D13" s="231">
        <v>87396</v>
      </c>
      <c r="E13" s="231">
        <v>89596</v>
      </c>
      <c r="F13" s="231">
        <v>88709</v>
      </c>
      <c r="G13" s="231">
        <v>87608</v>
      </c>
      <c r="H13" s="231">
        <v>87690</v>
      </c>
      <c r="I13" s="231">
        <v>86859</v>
      </c>
      <c r="J13" s="27">
        <v>86272</v>
      </c>
      <c r="K13" s="27">
        <v>112846</v>
      </c>
      <c r="L13" s="199">
        <f>1655+90042+14111+4473+1442</f>
        <v>111723</v>
      </c>
      <c r="M13" s="199">
        <v>64849</v>
      </c>
      <c r="N13" s="300">
        <f>1230.7+4748+3721.85+239.3+18496.6+386.1+2232.6+76959.95+166.3</f>
        <v>108181.4</v>
      </c>
      <c r="O13" s="300">
        <v>120068</v>
      </c>
      <c r="P13" s="300">
        <v>119723.6</v>
      </c>
      <c r="Q13" s="302">
        <v>125716</v>
      </c>
      <c r="R13" s="302">
        <v>124127.9</v>
      </c>
      <c r="S13" s="300">
        <v>124779</v>
      </c>
      <c r="T13" s="300">
        <v>122456.4</v>
      </c>
      <c r="U13" s="300">
        <v>121587</v>
      </c>
    </row>
    <row r="14" spans="1:21">
      <c r="A14" s="33" t="s">
        <v>14</v>
      </c>
      <c r="B14" s="34" t="s">
        <v>15</v>
      </c>
      <c r="C14" s="231">
        <v>0</v>
      </c>
      <c r="D14" s="231">
        <v>9314</v>
      </c>
      <c r="E14" s="231">
        <v>20183</v>
      </c>
      <c r="F14" s="231">
        <v>24648</v>
      </c>
      <c r="G14" s="231">
        <v>34770</v>
      </c>
      <c r="H14" s="231">
        <v>42220</v>
      </c>
      <c r="I14" s="231">
        <v>44312</v>
      </c>
      <c r="J14" s="27">
        <v>39256</v>
      </c>
      <c r="K14" s="27">
        <v>39218</v>
      </c>
      <c r="L14" s="196">
        <f>34659+581+7580+2783+94</f>
        <v>45697</v>
      </c>
      <c r="M14" s="196">
        <v>48333</v>
      </c>
      <c r="N14" s="298">
        <f>13438.4+28065.1+29340.3-455.8</f>
        <v>70388</v>
      </c>
      <c r="O14" s="298">
        <v>64175.199999999997</v>
      </c>
      <c r="P14" s="298">
        <v>57242.5</v>
      </c>
      <c r="Q14" s="302">
        <v>55427</v>
      </c>
      <c r="R14" s="302">
        <v>55197.1</v>
      </c>
      <c r="S14" s="298">
        <v>58362</v>
      </c>
      <c r="T14" s="298">
        <v>45468.4</v>
      </c>
      <c r="U14" s="298">
        <v>36349</v>
      </c>
    </row>
    <row r="15" spans="1:21">
      <c r="A15" s="35"/>
      <c r="B15" s="36"/>
      <c r="C15" s="232"/>
      <c r="D15" s="233"/>
      <c r="E15" s="232"/>
      <c r="F15" s="232"/>
      <c r="G15" s="27"/>
      <c r="H15" s="200"/>
      <c r="I15" s="234"/>
      <c r="J15" s="238"/>
      <c r="K15" s="238"/>
      <c r="L15" s="200"/>
      <c r="M15" s="200"/>
      <c r="N15" s="305"/>
      <c r="O15" s="305"/>
      <c r="P15" s="305"/>
      <c r="Q15" s="308"/>
      <c r="R15" s="308"/>
      <c r="S15" s="305"/>
      <c r="T15" s="305"/>
      <c r="U15" s="305"/>
    </row>
    <row r="16" spans="1:21">
      <c r="A16" s="11">
        <v>12</v>
      </c>
      <c r="B16" s="38" t="s">
        <v>16</v>
      </c>
      <c r="C16" s="198">
        <v>0</v>
      </c>
      <c r="D16" s="198">
        <v>0</v>
      </c>
      <c r="E16" s="198">
        <v>0</v>
      </c>
      <c r="F16" s="198">
        <v>0</v>
      </c>
      <c r="G16" s="198">
        <v>0</v>
      </c>
      <c r="H16" s="198">
        <v>0</v>
      </c>
      <c r="I16" s="198">
        <v>0</v>
      </c>
      <c r="J16" s="198">
        <v>0</v>
      </c>
      <c r="K16" s="198">
        <v>0</v>
      </c>
      <c r="L16" s="198">
        <v>0</v>
      </c>
      <c r="M16" s="198">
        <v>0</v>
      </c>
      <c r="N16" s="313">
        <v>0</v>
      </c>
      <c r="O16" s="313">
        <v>0</v>
      </c>
      <c r="P16" s="313">
        <v>0</v>
      </c>
      <c r="Q16" s="309">
        <v>0</v>
      </c>
      <c r="R16" s="309">
        <v>0</v>
      </c>
      <c r="S16" s="388">
        <v>0</v>
      </c>
      <c r="T16" s="388">
        <v>0</v>
      </c>
      <c r="U16" s="388">
        <v>0</v>
      </c>
    </row>
    <row r="17" spans="1:21">
      <c r="A17" s="39"/>
      <c r="B17" s="40"/>
      <c r="C17" s="229"/>
      <c r="D17" s="230"/>
      <c r="E17" s="229"/>
      <c r="F17" s="229"/>
      <c r="G17" s="235"/>
      <c r="H17" s="196"/>
      <c r="I17" s="196"/>
      <c r="J17" s="196"/>
      <c r="K17" s="196"/>
      <c r="L17" s="196"/>
      <c r="M17" s="196"/>
      <c r="N17" s="298"/>
      <c r="O17" s="298"/>
      <c r="P17" s="298"/>
      <c r="Q17" s="311"/>
      <c r="R17" s="311"/>
      <c r="S17" s="298"/>
      <c r="T17" s="298"/>
      <c r="U17" s="298"/>
    </row>
    <row r="18" spans="1:21">
      <c r="A18" s="11">
        <v>13</v>
      </c>
      <c r="B18" s="38" t="s">
        <v>17</v>
      </c>
      <c r="C18" s="198">
        <v>0</v>
      </c>
      <c r="D18" s="198">
        <v>0</v>
      </c>
      <c r="E18" s="198">
        <f>ROUND((1493577.3)/1000,0)</f>
        <v>1494</v>
      </c>
      <c r="F18" s="198">
        <f>18343</f>
        <v>18343</v>
      </c>
      <c r="G18" s="198">
        <v>38469</v>
      </c>
      <c r="H18" s="198">
        <v>0</v>
      </c>
      <c r="I18" s="198">
        <v>0</v>
      </c>
      <c r="J18" s="198">
        <v>0</v>
      </c>
      <c r="K18" s="198">
        <v>0</v>
      </c>
      <c r="L18" s="198">
        <v>0</v>
      </c>
      <c r="M18" s="198">
        <v>0</v>
      </c>
      <c r="N18" s="313">
        <v>0</v>
      </c>
      <c r="O18" s="313">
        <v>0</v>
      </c>
      <c r="P18" s="313">
        <v>0</v>
      </c>
      <c r="Q18" s="309">
        <v>0</v>
      </c>
      <c r="R18" s="309">
        <v>0</v>
      </c>
      <c r="S18" s="388">
        <v>0</v>
      </c>
      <c r="T18" s="388">
        <v>0</v>
      </c>
      <c r="U18" s="388">
        <v>0</v>
      </c>
    </row>
    <row r="19" spans="1:21">
      <c r="A19" s="41"/>
      <c r="B19" s="42"/>
      <c r="C19" s="236"/>
      <c r="D19" s="237"/>
      <c r="E19" s="236"/>
      <c r="F19" s="236"/>
      <c r="G19" s="24"/>
      <c r="H19" s="196"/>
      <c r="I19" s="196"/>
      <c r="J19" s="59"/>
      <c r="K19" s="59"/>
      <c r="L19" s="196"/>
      <c r="M19" s="196"/>
      <c r="N19" s="298"/>
      <c r="O19" s="298"/>
      <c r="P19" s="298"/>
      <c r="Q19" s="311"/>
      <c r="R19" s="311"/>
      <c r="S19" s="298"/>
      <c r="T19" s="298"/>
      <c r="U19" s="298"/>
    </row>
    <row r="20" spans="1:21">
      <c r="A20" s="43"/>
      <c r="B20" s="36"/>
      <c r="C20" s="232"/>
      <c r="D20" s="233"/>
      <c r="E20" s="232"/>
      <c r="F20" s="232"/>
      <c r="G20" s="238"/>
      <c r="H20" s="200"/>
      <c r="I20" s="234"/>
      <c r="J20" s="213"/>
      <c r="K20" s="213"/>
      <c r="L20" s="200"/>
      <c r="M20" s="200"/>
      <c r="N20" s="305"/>
      <c r="O20" s="305"/>
      <c r="P20" s="305"/>
      <c r="Q20" s="308"/>
      <c r="R20" s="308"/>
      <c r="S20" s="305"/>
      <c r="T20" s="305"/>
      <c r="U20" s="305"/>
    </row>
    <row r="21" spans="1:21">
      <c r="A21" s="11">
        <v>2</v>
      </c>
      <c r="B21" s="38" t="s">
        <v>18</v>
      </c>
      <c r="C21" s="198">
        <f t="shared" ref="C21:H21" si="16">C23+C28+C30+C32+C34</f>
        <v>304643</v>
      </c>
      <c r="D21" s="198">
        <f t="shared" si="16"/>
        <v>250850</v>
      </c>
      <c r="E21" s="198">
        <f t="shared" si="16"/>
        <v>250025</v>
      </c>
      <c r="F21" s="198">
        <f t="shared" si="16"/>
        <v>297750</v>
      </c>
      <c r="G21" s="198">
        <f t="shared" si="16"/>
        <v>330192</v>
      </c>
      <c r="H21" s="198">
        <f t="shared" si="16"/>
        <v>342841</v>
      </c>
      <c r="I21" s="198">
        <f t="shared" ref="I21:N21" si="17">I23+I28+I30+I32+I34</f>
        <v>325466</v>
      </c>
      <c r="J21" s="198">
        <f t="shared" si="17"/>
        <v>321009</v>
      </c>
      <c r="K21" s="198">
        <f t="shared" si="17"/>
        <v>447297</v>
      </c>
      <c r="L21" s="198">
        <f t="shared" si="17"/>
        <v>507660</v>
      </c>
      <c r="M21" s="198">
        <f t="shared" si="17"/>
        <v>469099</v>
      </c>
      <c r="N21" s="198">
        <f t="shared" si="17"/>
        <v>573236.61</v>
      </c>
      <c r="O21" s="198">
        <f>O23+O28+O30+O32+O34</f>
        <v>570919.5</v>
      </c>
      <c r="P21" s="198">
        <f>P23+P28+P30+P32+P34</f>
        <v>564302.10000000009</v>
      </c>
      <c r="Q21" s="13">
        <f t="shared" ref="Q21:R21" si="18">Q23+Q28+Q30+Q32+Q34</f>
        <v>576503</v>
      </c>
      <c r="R21" s="13">
        <f t="shared" si="18"/>
        <v>561226.20000000007</v>
      </c>
      <c r="S21" s="348">
        <f t="shared" ref="S21:T21" si="19">S23+S28+S30+S32+S34</f>
        <v>573937</v>
      </c>
      <c r="T21" s="348">
        <f t="shared" si="19"/>
        <v>581226.1</v>
      </c>
      <c r="U21" s="348">
        <f t="shared" ref="U21" si="20">U23+U28+U30+U32+U34</f>
        <v>562942</v>
      </c>
    </row>
    <row r="22" spans="1:21">
      <c r="A22" s="44"/>
      <c r="B22" s="45"/>
      <c r="C22" s="229"/>
      <c r="D22" s="230"/>
      <c r="E22" s="229"/>
      <c r="F22" s="229"/>
      <c r="G22" s="24"/>
      <c r="H22" s="196"/>
      <c r="I22" s="196"/>
      <c r="J22" s="213"/>
      <c r="K22" s="213"/>
      <c r="L22" s="196"/>
      <c r="M22" s="196"/>
      <c r="N22" s="196"/>
      <c r="O22" s="196"/>
      <c r="P22" s="196"/>
      <c r="Q22" s="18"/>
      <c r="R22" s="18"/>
      <c r="S22" s="298"/>
      <c r="T22" s="298"/>
      <c r="U22" s="298"/>
    </row>
    <row r="23" spans="1:21">
      <c r="A23" s="46">
        <v>20</v>
      </c>
      <c r="B23" s="47" t="s">
        <v>19</v>
      </c>
      <c r="C23" s="198">
        <f t="shared" ref="C23:H23" si="21">C24+C25+C26</f>
        <v>178859</v>
      </c>
      <c r="D23" s="198">
        <f t="shared" si="21"/>
        <v>130866</v>
      </c>
      <c r="E23" s="198">
        <f t="shared" si="21"/>
        <v>163085</v>
      </c>
      <c r="F23" s="198">
        <f t="shared" si="21"/>
        <v>223947</v>
      </c>
      <c r="G23" s="198">
        <f t="shared" si="21"/>
        <v>260389</v>
      </c>
      <c r="H23" s="198">
        <f t="shared" si="21"/>
        <v>241545</v>
      </c>
      <c r="I23" s="198">
        <f t="shared" ref="I23:N23" si="22">I24+I25+I26</f>
        <v>227295</v>
      </c>
      <c r="J23" s="198">
        <f t="shared" si="22"/>
        <v>211566</v>
      </c>
      <c r="K23" s="198">
        <f t="shared" si="22"/>
        <v>200989</v>
      </c>
      <c r="L23" s="198">
        <f t="shared" si="22"/>
        <v>183334</v>
      </c>
      <c r="M23" s="198">
        <f t="shared" si="22"/>
        <v>167462</v>
      </c>
      <c r="N23" s="198">
        <f t="shared" si="22"/>
        <v>172663.04000000001</v>
      </c>
      <c r="O23" s="198">
        <f>O24+O25+O26</f>
        <v>166686.6</v>
      </c>
      <c r="P23" s="198">
        <f>P24+P25+P26</f>
        <v>166718.20000000001</v>
      </c>
      <c r="Q23" s="13">
        <f t="shared" ref="Q23:R23" si="23">Q24+Q25+Q26</f>
        <v>142136</v>
      </c>
      <c r="R23" s="13">
        <f t="shared" si="23"/>
        <v>156855.70000000001</v>
      </c>
      <c r="S23" s="348">
        <f t="shared" ref="S23:T23" si="24">S24+S25+S26</f>
        <v>168955</v>
      </c>
      <c r="T23" s="348">
        <f t="shared" si="24"/>
        <v>173719.09999999998</v>
      </c>
      <c r="U23" s="348">
        <f t="shared" ref="U23" si="25">U24+U25+U26</f>
        <v>177253</v>
      </c>
    </row>
    <row r="24" spans="1:21">
      <c r="A24" s="48" t="s">
        <v>20</v>
      </c>
      <c r="B24" s="49" t="s">
        <v>21</v>
      </c>
      <c r="C24" s="231">
        <v>117192</v>
      </c>
      <c r="D24" s="231">
        <v>67364</v>
      </c>
      <c r="E24" s="231">
        <v>71052</v>
      </c>
      <c r="F24" s="231">
        <v>104994</v>
      </c>
      <c r="G24" s="231">
        <v>61286</v>
      </c>
      <c r="H24" s="231">
        <v>63031</v>
      </c>
      <c r="I24" s="231">
        <f>51595+7643</f>
        <v>59238</v>
      </c>
      <c r="J24" s="263">
        <v>59064</v>
      </c>
      <c r="K24" s="263">
        <v>64889</v>
      </c>
      <c r="L24" s="196">
        <f>65072+207+4887</f>
        <v>70166</v>
      </c>
      <c r="M24" s="196">
        <v>63769</v>
      </c>
      <c r="N24" s="298">
        <f>51392.87+1369.54+5872.38+170.27+20425</f>
        <v>79230.06</v>
      </c>
      <c r="O24" s="298">
        <v>99129.8</v>
      </c>
      <c r="P24" s="298">
        <v>119977.2</v>
      </c>
      <c r="Q24" s="302">
        <v>75725</v>
      </c>
      <c r="R24" s="302">
        <v>106679.9</v>
      </c>
      <c r="S24" s="298">
        <v>122760</v>
      </c>
      <c r="T24" s="298">
        <v>110765.2</v>
      </c>
      <c r="U24" s="298">
        <v>124351</v>
      </c>
    </row>
    <row r="25" spans="1:21">
      <c r="A25" s="50">
        <v>202</v>
      </c>
      <c r="B25" s="51" t="s">
        <v>22</v>
      </c>
      <c r="C25" s="231">
        <v>60000</v>
      </c>
      <c r="D25" s="231">
        <v>60000</v>
      </c>
      <c r="E25" s="231">
        <v>90000</v>
      </c>
      <c r="F25" s="231">
        <v>116350</v>
      </c>
      <c r="G25" s="231">
        <v>195925</v>
      </c>
      <c r="H25" s="231">
        <v>175500</v>
      </c>
      <c r="I25" s="231">
        <v>165075</v>
      </c>
      <c r="J25" s="264">
        <v>149650</v>
      </c>
      <c r="K25" s="264">
        <v>130976</v>
      </c>
      <c r="L25" s="199">
        <v>106350</v>
      </c>
      <c r="M25" s="199">
        <v>96325</v>
      </c>
      <c r="N25" s="300">
        <f>62525+20410.2</f>
        <v>82935.199999999997</v>
      </c>
      <c r="O25" s="300">
        <v>61525.599999999999</v>
      </c>
      <c r="P25" s="300">
        <v>41463.800000000003</v>
      </c>
      <c r="Q25" s="302">
        <v>61402</v>
      </c>
      <c r="R25" s="302">
        <v>41213.599999999999</v>
      </c>
      <c r="S25" s="300">
        <v>40648</v>
      </c>
      <c r="T25" s="300">
        <v>53141.1</v>
      </c>
      <c r="U25" s="300">
        <v>43133</v>
      </c>
    </row>
    <row r="26" spans="1:21">
      <c r="A26" s="50">
        <v>205</v>
      </c>
      <c r="B26" s="52" t="s">
        <v>23</v>
      </c>
      <c r="C26" s="231">
        <v>1667</v>
      </c>
      <c r="D26" s="231">
        <v>3502</v>
      </c>
      <c r="E26" s="231">
        <v>2033</v>
      </c>
      <c r="F26" s="231">
        <v>2603</v>
      </c>
      <c r="G26" s="231">
        <v>3178</v>
      </c>
      <c r="H26" s="231">
        <v>3014</v>
      </c>
      <c r="I26" s="231">
        <v>2982</v>
      </c>
      <c r="J26" s="264">
        <v>2852</v>
      </c>
      <c r="K26" s="264">
        <v>5124</v>
      </c>
      <c r="L26" s="196">
        <v>6818</v>
      </c>
      <c r="M26" s="196">
        <v>7368</v>
      </c>
      <c r="N26" s="298">
        <f>276.2+6314.6+1005.6+128.4+2769.8+3.18</f>
        <v>10497.78</v>
      </c>
      <c r="O26" s="298">
        <v>6031.2</v>
      </c>
      <c r="P26" s="298">
        <v>5277.2</v>
      </c>
      <c r="Q26" s="302">
        <v>5009</v>
      </c>
      <c r="R26" s="302">
        <v>8962.2000000000007</v>
      </c>
      <c r="S26" s="298">
        <v>5547</v>
      </c>
      <c r="T26" s="298">
        <v>9812.7999999999993</v>
      </c>
      <c r="U26" s="298">
        <v>9769</v>
      </c>
    </row>
    <row r="27" spans="1:21">
      <c r="A27" s="35"/>
      <c r="B27" s="36"/>
      <c r="C27" s="232"/>
      <c r="D27" s="233"/>
      <c r="E27" s="232"/>
      <c r="F27" s="232"/>
      <c r="G27" s="238"/>
      <c r="H27" s="200"/>
      <c r="I27" s="234"/>
      <c r="J27" s="265"/>
      <c r="K27" s="265"/>
      <c r="L27" s="200"/>
      <c r="M27" s="200"/>
      <c r="N27" s="305"/>
      <c r="O27" s="305"/>
      <c r="P27" s="305"/>
      <c r="Q27" s="308"/>
      <c r="R27" s="308"/>
      <c r="S27" s="305"/>
      <c r="T27" s="305"/>
      <c r="U27" s="305"/>
    </row>
    <row r="28" spans="1:21">
      <c r="A28" s="11">
        <v>23</v>
      </c>
      <c r="B28" s="38" t="s">
        <v>24</v>
      </c>
      <c r="C28" s="198">
        <v>31735</v>
      </c>
      <c r="D28" s="198">
        <v>34975</v>
      </c>
      <c r="E28" s="198">
        <v>32902</v>
      </c>
      <c r="F28" s="198">
        <v>27910</v>
      </c>
      <c r="G28" s="198">
        <v>24301</v>
      </c>
      <c r="H28" s="198">
        <v>20209</v>
      </c>
      <c r="I28" s="198">
        <v>17781</v>
      </c>
      <c r="J28" s="198">
        <v>21789</v>
      </c>
      <c r="K28" s="198">
        <v>27943</v>
      </c>
      <c r="L28" s="198">
        <v>28867</v>
      </c>
      <c r="M28" s="198">
        <v>42916</v>
      </c>
      <c r="N28" s="313">
        <v>0</v>
      </c>
      <c r="O28" s="313">
        <v>0</v>
      </c>
      <c r="P28" s="313">
        <v>0</v>
      </c>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32676</v>
      </c>
      <c r="D30" s="198">
        <v>23913</v>
      </c>
      <c r="E30" s="198">
        <v>10920</v>
      </c>
      <c r="F30" s="198">
        <f>3826</f>
        <v>3826</v>
      </c>
      <c r="G30" s="198">
        <v>4002</v>
      </c>
      <c r="H30" s="198">
        <v>6131</v>
      </c>
      <c r="I30" s="198">
        <v>4321</v>
      </c>
      <c r="J30" s="198">
        <v>9516</v>
      </c>
      <c r="K30" s="198">
        <v>17356</v>
      </c>
      <c r="L30" s="198">
        <f>59279+1903</f>
        <v>61182</v>
      </c>
      <c r="M30" s="198">
        <v>32261</v>
      </c>
      <c r="N30" s="313">
        <f>992.7</f>
        <v>992.7</v>
      </c>
      <c r="O30" s="313">
        <v>956.1</v>
      </c>
      <c r="P30" s="313">
        <v>1563.7</v>
      </c>
      <c r="Q30" s="309">
        <v>1547</v>
      </c>
      <c r="R30" s="309">
        <v>1576.6</v>
      </c>
      <c r="S30" s="388">
        <v>1129</v>
      </c>
      <c r="T30" s="388">
        <v>4662.6000000000004</v>
      </c>
      <c r="U30" s="388">
        <v>3802</v>
      </c>
    </row>
    <row r="31" spans="1:21">
      <c r="A31" s="44"/>
      <c r="B31" s="45"/>
      <c r="C31" s="231"/>
      <c r="D31" s="230"/>
      <c r="E31" s="229"/>
      <c r="F31" s="229"/>
      <c r="G31" s="198"/>
      <c r="H31" s="196"/>
      <c r="I31" s="196"/>
      <c r="J31" s="196"/>
      <c r="K31" s="196"/>
      <c r="L31" s="196"/>
      <c r="M31" s="196"/>
      <c r="N31" s="298"/>
      <c r="O31" s="298"/>
      <c r="P31" s="298"/>
      <c r="Q31" s="311"/>
      <c r="R31" s="311"/>
      <c r="S31" s="298"/>
      <c r="T31" s="298"/>
      <c r="U31" s="298"/>
    </row>
    <row r="32" spans="1:21">
      <c r="A32" s="54">
        <v>28</v>
      </c>
      <c r="B32" s="47" t="s">
        <v>26</v>
      </c>
      <c r="C32" s="198">
        <v>2330</v>
      </c>
      <c r="D32" s="198">
        <v>2348</v>
      </c>
      <c r="E32" s="198">
        <v>2205</v>
      </c>
      <c r="F32" s="198">
        <v>1229</v>
      </c>
      <c r="G32" s="198">
        <v>846</v>
      </c>
      <c r="H32" s="198">
        <v>1019</v>
      </c>
      <c r="I32" s="198">
        <v>976</v>
      </c>
      <c r="J32" s="198">
        <v>1212</v>
      </c>
      <c r="K32" s="198">
        <v>123001</v>
      </c>
      <c r="L32" s="198">
        <v>134357</v>
      </c>
      <c r="M32" s="198">
        <v>133770</v>
      </c>
      <c r="N32" s="313">
        <f>10145.9+10920.1</f>
        <v>21066</v>
      </c>
      <c r="O32" s="313">
        <v>21513.9</v>
      </c>
      <c r="P32" s="313">
        <v>21618</v>
      </c>
      <c r="Q32" s="309">
        <v>21337</v>
      </c>
      <c r="R32" s="309">
        <v>21718</v>
      </c>
      <c r="S32" s="388">
        <v>21271</v>
      </c>
      <c r="T32" s="388">
        <v>21210.9</v>
      </c>
      <c r="U32" s="388">
        <v>20352</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59043</v>
      </c>
      <c r="D34" s="198">
        <v>58748</v>
      </c>
      <c r="E34" s="198">
        <v>40913</v>
      </c>
      <c r="F34" s="198">
        <v>40838</v>
      </c>
      <c r="G34" s="198">
        <v>40654</v>
      </c>
      <c r="H34" s="198">
        <v>73937</v>
      </c>
      <c r="I34" s="198">
        <v>75093</v>
      </c>
      <c r="J34" s="198">
        <v>76926</v>
      </c>
      <c r="K34" s="198">
        <v>78008</v>
      </c>
      <c r="L34" s="198">
        <v>99920</v>
      </c>
      <c r="M34" s="198">
        <v>92690</v>
      </c>
      <c r="N34" s="313">
        <v>378514.87</v>
      </c>
      <c r="O34" s="313">
        <v>381762.9</v>
      </c>
      <c r="P34" s="313">
        <v>374402.2</v>
      </c>
      <c r="Q34" s="309">
        <v>411483</v>
      </c>
      <c r="R34" s="309">
        <v>381075.9</v>
      </c>
      <c r="S34" s="388">
        <v>382582</v>
      </c>
      <c r="T34" s="388">
        <v>381633.5</v>
      </c>
      <c r="U34" s="388">
        <v>361535</v>
      </c>
    </row>
    <row r="35" spans="1:21">
      <c r="A35" s="41"/>
      <c r="B35" s="42"/>
      <c r="C35" s="56"/>
      <c r="D35" s="57"/>
      <c r="E35" s="56"/>
      <c r="F35" s="56"/>
      <c r="G35" s="56"/>
      <c r="H35" s="56"/>
      <c r="I35" s="56"/>
      <c r="J35" s="56"/>
      <c r="K35" s="56"/>
      <c r="L35" s="167"/>
      <c r="M35" s="167"/>
      <c r="N35" s="167"/>
      <c r="O35" s="167"/>
      <c r="P35" s="167"/>
      <c r="Q35" s="311"/>
      <c r="R35" s="311"/>
      <c r="S35" s="360"/>
      <c r="T35" s="360"/>
      <c r="U35" s="360"/>
    </row>
    <row r="36" spans="1:21">
      <c r="A36" s="170"/>
      <c r="B36" s="60"/>
      <c r="C36" s="171"/>
      <c r="D36" s="172"/>
      <c r="E36" s="171"/>
      <c r="F36" s="173"/>
      <c r="G36" s="174"/>
      <c r="H36" s="184"/>
      <c r="I36" s="184"/>
      <c r="J36" s="61"/>
      <c r="K36" s="61"/>
      <c r="L36" s="225"/>
      <c r="M36" s="225"/>
      <c r="N36" s="225"/>
      <c r="O36" s="225"/>
      <c r="P36" s="225"/>
      <c r="Q36" s="341"/>
      <c r="R36" s="341"/>
      <c r="S36" s="362"/>
      <c r="T36" s="362"/>
      <c r="U36" s="362"/>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72</v>
      </c>
      <c r="C2" s="79"/>
      <c r="D2" s="79"/>
      <c r="E2" s="79"/>
      <c r="F2" s="79"/>
      <c r="G2" s="79"/>
      <c r="H2" s="79"/>
      <c r="I2" s="79"/>
      <c r="J2" s="6"/>
      <c r="K2" s="6"/>
      <c r="L2" s="6"/>
      <c r="M2" s="6"/>
      <c r="N2" s="6"/>
      <c r="O2" s="6"/>
      <c r="P2" s="392" t="s">
        <v>103</v>
      </c>
      <c r="Q2" s="392" t="s">
        <v>103</v>
      </c>
      <c r="R2" s="392" t="s">
        <v>103</v>
      </c>
      <c r="S2" s="392" t="s">
        <v>103</v>
      </c>
      <c r="T2" s="392" t="s">
        <v>103</v>
      </c>
      <c r="U2" s="392"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1506198</v>
      </c>
      <c r="D4" s="228">
        <f t="shared" si="0"/>
        <v>1191321</v>
      </c>
      <c r="E4" s="228">
        <f t="shared" si="0"/>
        <v>1223809</v>
      </c>
      <c r="F4" s="228">
        <f t="shared" si="0"/>
        <v>1254704</v>
      </c>
      <c r="G4" s="228">
        <f t="shared" si="0"/>
        <v>1215964</v>
      </c>
      <c r="H4" s="228">
        <f t="shared" si="0"/>
        <v>1242112</v>
      </c>
      <c r="I4" s="198">
        <f t="shared" ref="I4:N4" si="1">I6+I11+I16+I18</f>
        <v>1645976</v>
      </c>
      <c r="J4" s="198">
        <f t="shared" si="1"/>
        <v>1638168</v>
      </c>
      <c r="K4" s="198">
        <f t="shared" si="1"/>
        <v>1752379</v>
      </c>
      <c r="L4" s="198">
        <f t="shared" si="1"/>
        <v>2110578</v>
      </c>
      <c r="M4" s="198">
        <f t="shared" si="1"/>
        <v>2366885</v>
      </c>
      <c r="N4" s="198">
        <f t="shared" si="1"/>
        <v>2501055.6628900003</v>
      </c>
      <c r="O4" s="198">
        <f>O6+O11+O16+O18</f>
        <v>2353381</v>
      </c>
      <c r="P4" s="198">
        <f>P6+P11+P16+P18</f>
        <v>3672457</v>
      </c>
      <c r="Q4" s="13">
        <f t="shared" ref="Q4" si="2">Q6+Q11+Q16+Q18</f>
        <v>3817073</v>
      </c>
      <c r="R4" s="13">
        <f t="shared" ref="R4" si="3">R6+R11+R16+R18</f>
        <v>3715987.0999999996</v>
      </c>
      <c r="S4" s="348">
        <f t="shared" ref="S4:T4" si="4">S6+S11+S16+S18</f>
        <v>3782706.4</v>
      </c>
      <c r="T4" s="348">
        <f t="shared" si="4"/>
        <v>4024191.6999999997</v>
      </c>
      <c r="U4" s="348">
        <f t="shared" ref="U4" si="5">U6+U11+U16+U18</f>
        <v>3981998.3000000003</v>
      </c>
    </row>
    <row r="5" spans="1:21">
      <c r="A5" s="14"/>
      <c r="B5" s="15"/>
      <c r="C5" s="229"/>
      <c r="D5" s="230"/>
      <c r="E5" s="229"/>
      <c r="F5" s="229"/>
      <c r="G5" s="27"/>
      <c r="H5" s="196"/>
      <c r="I5" s="196"/>
      <c r="J5" s="196"/>
      <c r="K5" s="196"/>
      <c r="L5" s="196"/>
      <c r="M5" s="196"/>
      <c r="N5" s="196"/>
      <c r="O5" s="196"/>
      <c r="P5" s="196"/>
      <c r="Q5" s="18"/>
      <c r="R5" s="18"/>
      <c r="S5" s="298"/>
      <c r="T5" s="298"/>
      <c r="U5" s="298"/>
    </row>
    <row r="6" spans="1:21">
      <c r="A6" s="19">
        <v>10</v>
      </c>
      <c r="B6" s="12" t="s">
        <v>6</v>
      </c>
      <c r="C6" s="198">
        <f t="shared" ref="C6:H6" si="6">C7+C8+C9</f>
        <v>800537</v>
      </c>
      <c r="D6" s="198">
        <f t="shared" si="6"/>
        <v>496885</v>
      </c>
      <c r="E6" s="198">
        <f t="shared" si="6"/>
        <v>527990</v>
      </c>
      <c r="F6" s="198">
        <f t="shared" si="6"/>
        <v>541352</v>
      </c>
      <c r="G6" s="198">
        <f t="shared" si="6"/>
        <v>523562</v>
      </c>
      <c r="H6" s="198">
        <f t="shared" si="6"/>
        <v>655090</v>
      </c>
      <c r="I6" s="198">
        <f t="shared" ref="I6:O6" si="7">I7+I8+I9</f>
        <v>1118627</v>
      </c>
      <c r="J6" s="198">
        <f t="shared" si="7"/>
        <v>1153888</v>
      </c>
      <c r="K6" s="198">
        <f t="shared" si="7"/>
        <v>1243003</v>
      </c>
      <c r="L6" s="198">
        <f t="shared" si="7"/>
        <v>1593870</v>
      </c>
      <c r="M6" s="198">
        <f t="shared" si="7"/>
        <v>1829314</v>
      </c>
      <c r="N6" s="198">
        <f t="shared" si="7"/>
        <v>1948467.66289</v>
      </c>
      <c r="O6" s="198">
        <f t="shared" si="7"/>
        <v>1691307</v>
      </c>
      <c r="P6" s="198">
        <f t="shared" ref="P6" si="8">P7+P8+P9</f>
        <v>2639115</v>
      </c>
      <c r="Q6" s="13">
        <f>Q7+Q8+Q9</f>
        <v>2794013</v>
      </c>
      <c r="R6" s="13">
        <f>R7+R8+R9</f>
        <v>2698830.4</v>
      </c>
      <c r="S6" s="348">
        <f>S7+S8+S9</f>
        <v>2748303.5</v>
      </c>
      <c r="T6" s="348">
        <f>T7+T8+T9</f>
        <v>2956528.0999999996</v>
      </c>
      <c r="U6" s="348">
        <f>U7+U8+U9</f>
        <v>2862737.2</v>
      </c>
    </row>
    <row r="7" spans="1:21">
      <c r="A7" s="20" t="s">
        <v>7</v>
      </c>
      <c r="B7" s="21" t="s">
        <v>8</v>
      </c>
      <c r="C7" s="231">
        <v>632653</v>
      </c>
      <c r="D7" s="231">
        <v>330320</v>
      </c>
      <c r="E7" s="231">
        <v>351237</v>
      </c>
      <c r="F7" s="231">
        <v>355978</v>
      </c>
      <c r="G7" s="231">
        <v>340162</v>
      </c>
      <c r="H7" s="231">
        <v>351987</v>
      </c>
      <c r="I7" s="231">
        <v>439456</v>
      </c>
      <c r="J7" s="222">
        <v>410559</v>
      </c>
      <c r="K7" s="222">
        <v>465177</v>
      </c>
      <c r="L7" s="196">
        <v>657933</v>
      </c>
      <c r="M7" s="196">
        <v>1037350</v>
      </c>
      <c r="N7" s="298">
        <v>1252114.66289</v>
      </c>
      <c r="O7" s="298">
        <v>959559</v>
      </c>
      <c r="P7" s="298">
        <v>423686</v>
      </c>
      <c r="Q7" s="302">
        <v>450021</v>
      </c>
      <c r="R7" s="302">
        <v>605780.6</v>
      </c>
      <c r="S7" s="298">
        <v>658880.30000000005</v>
      </c>
      <c r="T7" s="298">
        <v>670708.4</v>
      </c>
      <c r="U7" s="298">
        <v>543626.5</v>
      </c>
    </row>
    <row r="8" spans="1:21">
      <c r="A8" s="25">
        <v>102</v>
      </c>
      <c r="B8" s="26" t="s">
        <v>9</v>
      </c>
      <c r="C8" s="231">
        <v>109935</v>
      </c>
      <c r="D8" s="231">
        <v>126018</v>
      </c>
      <c r="E8" s="231">
        <v>143095</v>
      </c>
      <c r="F8" s="231">
        <v>136994</v>
      </c>
      <c r="G8" s="231">
        <v>125496</v>
      </c>
      <c r="H8" s="231">
        <v>200353</v>
      </c>
      <c r="I8" s="231">
        <v>543576</v>
      </c>
      <c r="J8" s="221">
        <v>608655</v>
      </c>
      <c r="K8" s="221">
        <v>755396</v>
      </c>
      <c r="L8" s="199">
        <v>896311</v>
      </c>
      <c r="M8" s="199">
        <v>770138</v>
      </c>
      <c r="N8" s="300">
        <v>663893</v>
      </c>
      <c r="O8" s="300">
        <v>692612</v>
      </c>
      <c r="P8" s="300">
        <v>1681734</v>
      </c>
      <c r="Q8" s="302">
        <v>1770027</v>
      </c>
      <c r="R8" s="302">
        <v>2001978.8</v>
      </c>
      <c r="S8" s="300">
        <v>2058943.7000000002</v>
      </c>
      <c r="T8" s="300">
        <v>2256730.2999999998</v>
      </c>
      <c r="U8" s="300">
        <v>2276381.4000000004</v>
      </c>
    </row>
    <row r="9" spans="1:21">
      <c r="A9" s="25">
        <v>103</v>
      </c>
      <c r="B9" s="26" t="s">
        <v>10</v>
      </c>
      <c r="C9" s="231">
        <v>57949</v>
      </c>
      <c r="D9" s="231">
        <v>40547</v>
      </c>
      <c r="E9" s="231">
        <v>33658</v>
      </c>
      <c r="F9" s="231">
        <v>48380</v>
      </c>
      <c r="G9" s="231">
        <v>57904</v>
      </c>
      <c r="H9" s="231">
        <v>102750</v>
      </c>
      <c r="I9" s="231">
        <v>135595</v>
      </c>
      <c r="J9" s="222">
        <v>134674</v>
      </c>
      <c r="K9" s="222">
        <v>22430</v>
      </c>
      <c r="L9" s="196">
        <v>39626</v>
      </c>
      <c r="M9" s="196">
        <v>21826</v>
      </c>
      <c r="N9" s="298">
        <v>32460</v>
      </c>
      <c r="O9" s="298">
        <v>39136</v>
      </c>
      <c r="P9" s="298">
        <v>533695</v>
      </c>
      <c r="Q9" s="302">
        <v>573965</v>
      </c>
      <c r="R9" s="302">
        <v>91071</v>
      </c>
      <c r="S9" s="298">
        <v>30479.5</v>
      </c>
      <c r="T9" s="298">
        <v>29089.4</v>
      </c>
      <c r="U9" s="298">
        <v>42729.3</v>
      </c>
    </row>
    <row r="10" spans="1:21">
      <c r="A10" s="28"/>
      <c r="B10" s="29"/>
      <c r="C10" s="232"/>
      <c r="D10" s="233"/>
      <c r="E10" s="232"/>
      <c r="F10" s="232"/>
      <c r="G10" s="27"/>
      <c r="H10" s="196"/>
      <c r="I10" s="196"/>
      <c r="J10" s="196"/>
      <c r="K10" s="196"/>
      <c r="L10" s="196"/>
      <c r="M10" s="196"/>
      <c r="N10" s="196"/>
      <c r="O10" s="196"/>
      <c r="P10" s="196"/>
      <c r="Q10" s="18"/>
      <c r="R10" s="18"/>
      <c r="S10" s="298"/>
      <c r="T10" s="298"/>
      <c r="U10" s="298"/>
    </row>
    <row r="11" spans="1:21">
      <c r="A11" s="19">
        <v>11</v>
      </c>
      <c r="B11" s="12" t="s">
        <v>11</v>
      </c>
      <c r="C11" s="198">
        <f t="shared" ref="C11:H11" si="9">C12+C13+C14</f>
        <v>664261</v>
      </c>
      <c r="D11" s="198">
        <f t="shared" si="9"/>
        <v>640736</v>
      </c>
      <c r="E11" s="198">
        <f t="shared" si="9"/>
        <v>636370</v>
      </c>
      <c r="F11" s="198">
        <f t="shared" si="9"/>
        <v>637075</v>
      </c>
      <c r="G11" s="198">
        <f t="shared" si="9"/>
        <v>616125</v>
      </c>
      <c r="H11" s="198">
        <f t="shared" si="9"/>
        <v>587022</v>
      </c>
      <c r="I11" s="198">
        <f t="shared" ref="I11:O11" si="10">I12+I13+I14</f>
        <v>527349</v>
      </c>
      <c r="J11" s="198">
        <f t="shared" si="10"/>
        <v>484280</v>
      </c>
      <c r="K11" s="198">
        <f t="shared" si="10"/>
        <v>509376</v>
      </c>
      <c r="L11" s="198">
        <f t="shared" si="10"/>
        <v>516708</v>
      </c>
      <c r="M11" s="198">
        <f t="shared" si="10"/>
        <v>537571</v>
      </c>
      <c r="N11" s="198">
        <f t="shared" si="10"/>
        <v>552588</v>
      </c>
      <c r="O11" s="198">
        <f t="shared" si="10"/>
        <v>662074</v>
      </c>
      <c r="P11" s="198">
        <f t="shared" ref="P11:Q11" si="11">P12+P13+P14</f>
        <v>1033342</v>
      </c>
      <c r="Q11" s="13">
        <f t="shared" si="11"/>
        <v>1023060</v>
      </c>
      <c r="R11" s="13">
        <f t="shared" ref="R11" si="12">R12+R13+R14</f>
        <v>1017156.7</v>
      </c>
      <c r="S11" s="348">
        <f t="shared" ref="S11:T11" si="13">S12+S13+S14</f>
        <v>1034402.9</v>
      </c>
      <c r="T11" s="348">
        <f t="shared" si="13"/>
        <v>1067663.6000000001</v>
      </c>
      <c r="U11" s="348">
        <f t="shared" ref="U11" si="14">U12+U13+U14</f>
        <v>1119261.1000000001</v>
      </c>
    </row>
    <row r="12" spans="1:21">
      <c r="A12" s="32">
        <v>114</v>
      </c>
      <c r="B12" s="21" t="s">
        <v>12</v>
      </c>
      <c r="C12" s="231">
        <v>94476</v>
      </c>
      <c r="D12" s="231">
        <v>93176</v>
      </c>
      <c r="E12" s="231">
        <v>92605</v>
      </c>
      <c r="F12" s="231">
        <v>87285</v>
      </c>
      <c r="G12" s="231">
        <v>76601</v>
      </c>
      <c r="H12" s="231">
        <v>73526</v>
      </c>
      <c r="I12" s="231">
        <v>43702</v>
      </c>
      <c r="J12" s="196">
        <v>0</v>
      </c>
      <c r="K12" s="196">
        <v>16448</v>
      </c>
      <c r="L12" s="196">
        <v>41150</v>
      </c>
      <c r="M12" s="196">
        <v>58834</v>
      </c>
      <c r="N12" s="298">
        <v>65395</v>
      </c>
      <c r="O12" s="298">
        <v>77209</v>
      </c>
      <c r="P12" s="298">
        <v>533290</v>
      </c>
      <c r="Q12" s="302">
        <v>522989</v>
      </c>
      <c r="R12" s="302">
        <v>516604.8</v>
      </c>
      <c r="S12" s="298">
        <v>528243.4</v>
      </c>
      <c r="T12" s="298">
        <v>558027.4</v>
      </c>
      <c r="U12" s="298">
        <v>608819</v>
      </c>
    </row>
    <row r="13" spans="1:21">
      <c r="A13" s="25">
        <v>115</v>
      </c>
      <c r="B13" s="26" t="s">
        <v>13</v>
      </c>
      <c r="C13" s="231">
        <v>490264</v>
      </c>
      <c r="D13" s="231">
        <v>465193</v>
      </c>
      <c r="E13" s="231">
        <v>461375</v>
      </c>
      <c r="F13" s="231">
        <v>461966</v>
      </c>
      <c r="G13" s="231">
        <v>461483</v>
      </c>
      <c r="H13" s="231">
        <v>513496</v>
      </c>
      <c r="I13" s="231">
        <v>483647</v>
      </c>
      <c r="J13" s="221">
        <v>484280</v>
      </c>
      <c r="K13" s="221">
        <v>492928</v>
      </c>
      <c r="L13" s="199">
        <v>475558</v>
      </c>
      <c r="M13" s="199">
        <v>478737</v>
      </c>
      <c r="N13" s="300">
        <v>487193</v>
      </c>
      <c r="O13" s="300">
        <v>584865</v>
      </c>
      <c r="P13" s="300">
        <v>500052</v>
      </c>
      <c r="Q13" s="302">
        <v>500071</v>
      </c>
      <c r="R13" s="302">
        <v>500551.9</v>
      </c>
      <c r="S13" s="300">
        <v>506159.5</v>
      </c>
      <c r="T13" s="300">
        <v>509636.19999999995</v>
      </c>
      <c r="U13" s="300">
        <v>510442.1</v>
      </c>
    </row>
    <row r="14" spans="1:21">
      <c r="A14" s="33" t="s">
        <v>14</v>
      </c>
      <c r="B14" s="34" t="s">
        <v>15</v>
      </c>
      <c r="C14" s="231">
        <v>79521</v>
      </c>
      <c r="D14" s="231">
        <v>82367</v>
      </c>
      <c r="E14" s="231">
        <v>82390</v>
      </c>
      <c r="F14" s="231">
        <v>87824</v>
      </c>
      <c r="G14" s="231">
        <v>78041</v>
      </c>
      <c r="H14" s="231">
        <v>0</v>
      </c>
      <c r="I14" s="231">
        <v>0</v>
      </c>
      <c r="J14" s="196">
        <v>0</v>
      </c>
      <c r="K14" s="196"/>
      <c r="L14" s="196">
        <v>0</v>
      </c>
      <c r="M14" s="196">
        <v>0</v>
      </c>
      <c r="N14" s="298">
        <v>0</v>
      </c>
      <c r="O14" s="298">
        <v>0</v>
      </c>
      <c r="P14" s="298">
        <v>0</v>
      </c>
      <c r="Q14" s="302">
        <v>0</v>
      </c>
      <c r="R14" s="302">
        <v>0</v>
      </c>
      <c r="S14" s="298">
        <v>0</v>
      </c>
      <c r="T14" s="298">
        <v>0</v>
      </c>
      <c r="U14" s="298">
        <v>0</v>
      </c>
    </row>
    <row r="15" spans="1:21">
      <c r="A15" s="35"/>
      <c r="B15" s="36"/>
      <c r="C15" s="232"/>
      <c r="D15" s="233"/>
      <c r="E15" s="232"/>
      <c r="F15" s="232"/>
      <c r="G15" s="27"/>
      <c r="H15" s="200"/>
      <c r="I15" s="234"/>
      <c r="J15" s="200"/>
      <c r="K15" s="200"/>
      <c r="L15" s="200"/>
      <c r="M15" s="200"/>
      <c r="N15" s="305"/>
      <c r="O15" s="305"/>
      <c r="P15" s="305"/>
      <c r="Q15" s="308"/>
      <c r="R15" s="308"/>
      <c r="S15" s="305"/>
      <c r="T15" s="305"/>
      <c r="U15" s="305"/>
    </row>
    <row r="16" spans="1:21">
      <c r="A16" s="11">
        <v>12</v>
      </c>
      <c r="B16" s="38" t="s">
        <v>16</v>
      </c>
      <c r="C16" s="198">
        <v>41400</v>
      </c>
      <c r="D16" s="198">
        <v>53700</v>
      </c>
      <c r="E16" s="198">
        <v>59449</v>
      </c>
      <c r="F16" s="198">
        <v>76277</v>
      </c>
      <c r="G16" s="198">
        <v>76277</v>
      </c>
      <c r="H16" s="198">
        <v>0</v>
      </c>
      <c r="I16" s="198">
        <v>0</v>
      </c>
      <c r="J16" s="198">
        <v>0</v>
      </c>
      <c r="K16" s="198">
        <v>0</v>
      </c>
      <c r="L16" s="198">
        <v>0</v>
      </c>
      <c r="M16" s="198">
        <v>0</v>
      </c>
      <c r="N16" s="313">
        <v>0</v>
      </c>
      <c r="O16" s="313">
        <v>0</v>
      </c>
      <c r="P16" s="313">
        <v>0</v>
      </c>
      <c r="Q16" s="309">
        <v>0</v>
      </c>
      <c r="R16" s="309">
        <v>0</v>
      </c>
      <c r="S16" s="388">
        <v>0</v>
      </c>
      <c r="T16" s="388">
        <v>0</v>
      </c>
      <c r="U16" s="388">
        <v>0</v>
      </c>
    </row>
    <row r="17" spans="1:21">
      <c r="A17" s="39"/>
      <c r="B17" s="40"/>
      <c r="C17" s="229"/>
      <c r="D17" s="230"/>
      <c r="E17" s="229"/>
      <c r="F17" s="229"/>
      <c r="G17" s="235"/>
      <c r="H17" s="196"/>
      <c r="I17" s="196"/>
      <c r="J17" s="196"/>
      <c r="K17" s="196"/>
      <c r="L17" s="196"/>
      <c r="M17" s="196"/>
      <c r="N17" s="298"/>
      <c r="O17" s="298"/>
      <c r="P17" s="298"/>
      <c r="Q17" s="311"/>
      <c r="R17" s="311"/>
      <c r="S17" s="298"/>
      <c r="T17" s="298"/>
      <c r="U17" s="298"/>
    </row>
    <row r="18" spans="1:21">
      <c r="A18" s="11">
        <v>13</v>
      </c>
      <c r="B18" s="38" t="s">
        <v>17</v>
      </c>
      <c r="C18" s="198"/>
      <c r="D18" s="198"/>
      <c r="E18" s="198"/>
      <c r="F18" s="198"/>
      <c r="G18" s="198"/>
      <c r="H18" s="198">
        <v>0</v>
      </c>
      <c r="I18" s="198">
        <v>0</v>
      </c>
      <c r="J18" s="198">
        <v>0</v>
      </c>
      <c r="K18" s="198">
        <v>0</v>
      </c>
      <c r="L18" s="198">
        <v>0</v>
      </c>
      <c r="M18" s="198">
        <v>0</v>
      </c>
      <c r="N18" s="313">
        <v>0</v>
      </c>
      <c r="O18" s="313">
        <v>0</v>
      </c>
      <c r="P18" s="313">
        <v>0</v>
      </c>
      <c r="Q18" s="309">
        <v>0</v>
      </c>
      <c r="R18" s="309">
        <v>0</v>
      </c>
      <c r="S18" s="388">
        <v>0</v>
      </c>
      <c r="T18" s="388">
        <v>0</v>
      </c>
      <c r="U18" s="388">
        <v>0</v>
      </c>
    </row>
    <row r="19" spans="1:21">
      <c r="A19" s="41"/>
      <c r="B19" s="42"/>
      <c r="C19" s="236"/>
      <c r="D19" s="237"/>
      <c r="E19" s="236"/>
      <c r="F19" s="236"/>
      <c r="G19" s="24"/>
      <c r="H19" s="196"/>
      <c r="I19" s="196"/>
      <c r="J19" s="196"/>
      <c r="K19" s="196"/>
      <c r="L19" s="196"/>
      <c r="M19" s="196"/>
      <c r="N19" s="298"/>
      <c r="O19" s="298"/>
      <c r="P19" s="298"/>
      <c r="Q19" s="311"/>
      <c r="R19" s="311"/>
      <c r="S19" s="298"/>
      <c r="T19" s="298"/>
      <c r="U19" s="298"/>
    </row>
    <row r="20" spans="1:21">
      <c r="A20" s="43"/>
      <c r="B20" s="36"/>
      <c r="C20" s="232"/>
      <c r="D20" s="233"/>
      <c r="E20" s="232"/>
      <c r="F20" s="232"/>
      <c r="G20" s="238"/>
      <c r="H20" s="200"/>
      <c r="I20" s="234"/>
      <c r="J20" s="200"/>
      <c r="K20" s="200"/>
      <c r="L20" s="200"/>
      <c r="M20" s="200"/>
      <c r="N20" s="305"/>
      <c r="O20" s="305"/>
      <c r="P20" s="305"/>
      <c r="Q20" s="308"/>
      <c r="R20" s="308"/>
      <c r="S20" s="305"/>
      <c r="T20" s="305"/>
      <c r="U20" s="305"/>
    </row>
    <row r="21" spans="1:21">
      <c r="A21" s="11">
        <v>2</v>
      </c>
      <c r="B21" s="38" t="s">
        <v>18</v>
      </c>
      <c r="C21" s="198">
        <f t="shared" ref="C21:H21" si="15">C23+C28+C30+C32+C34</f>
        <v>1506198</v>
      </c>
      <c r="D21" s="198">
        <f t="shared" si="15"/>
        <v>1191321</v>
      </c>
      <c r="E21" s="198">
        <f t="shared" si="15"/>
        <v>1223809</v>
      </c>
      <c r="F21" s="198">
        <f t="shared" si="15"/>
        <v>1254704</v>
      </c>
      <c r="G21" s="198">
        <f t="shared" si="15"/>
        <v>1215964</v>
      </c>
      <c r="H21" s="198">
        <f t="shared" si="15"/>
        <v>1242112</v>
      </c>
      <c r="I21" s="198">
        <f t="shared" ref="I21:O21" si="16">I23+I28+I30+I32+I34</f>
        <v>1645976</v>
      </c>
      <c r="J21" s="198">
        <f t="shared" si="16"/>
        <v>1638168</v>
      </c>
      <c r="K21" s="198">
        <f t="shared" si="16"/>
        <v>1752379</v>
      </c>
      <c r="L21" s="198">
        <f t="shared" si="16"/>
        <v>2110578</v>
      </c>
      <c r="M21" s="198">
        <f t="shared" si="16"/>
        <v>2366885</v>
      </c>
      <c r="N21" s="198">
        <f t="shared" si="16"/>
        <v>2363105</v>
      </c>
      <c r="O21" s="198">
        <f t="shared" si="16"/>
        <v>2353381</v>
      </c>
      <c r="P21" s="198">
        <f t="shared" ref="P21:Q21" si="17">P23+P28+P30+P32+P34</f>
        <v>3672457</v>
      </c>
      <c r="Q21" s="13">
        <f t="shared" si="17"/>
        <v>3817073</v>
      </c>
      <c r="R21" s="13">
        <f t="shared" ref="R21:S21" si="18">R23+R28+R30+R32+R34</f>
        <v>3715987.1</v>
      </c>
      <c r="S21" s="348">
        <f t="shared" si="18"/>
        <v>3782706.4</v>
      </c>
      <c r="T21" s="348">
        <f t="shared" ref="T21" si="19">T23+T28+T30+T32+T34</f>
        <v>4024191.7</v>
      </c>
      <c r="U21" s="348">
        <f t="shared" ref="U21" si="20">U23+U28+U30+U32+U34</f>
        <v>3981998.4000000004</v>
      </c>
    </row>
    <row r="22" spans="1:21">
      <c r="A22" s="44"/>
      <c r="B22" s="45"/>
      <c r="C22" s="229"/>
      <c r="D22" s="230"/>
      <c r="E22" s="229"/>
      <c r="F22" s="229"/>
      <c r="G22" s="24"/>
      <c r="H22" s="196"/>
      <c r="I22" s="196"/>
      <c r="J22" s="196"/>
      <c r="K22" s="196"/>
      <c r="L22" s="196"/>
      <c r="M22" s="196"/>
      <c r="N22" s="196"/>
      <c r="O22" s="196"/>
      <c r="P22" s="196"/>
      <c r="Q22" s="18"/>
      <c r="R22" s="18"/>
      <c r="S22" s="298"/>
      <c r="T22" s="298"/>
      <c r="U22" s="298"/>
    </row>
    <row r="23" spans="1:21">
      <c r="A23" s="46">
        <v>20</v>
      </c>
      <c r="B23" s="47" t="s">
        <v>19</v>
      </c>
      <c r="C23" s="198">
        <f>C24+C25+C26</f>
        <v>1311264</v>
      </c>
      <c r="D23" s="198">
        <f>SUM(D24:D26)</f>
        <v>1008410</v>
      </c>
      <c r="E23" s="198">
        <f>SUM(E24:E26)</f>
        <v>1067919</v>
      </c>
      <c r="F23" s="198">
        <f t="shared" ref="F23:L23" si="21">F24+F25+F26</f>
        <v>1150256</v>
      </c>
      <c r="G23" s="198">
        <f t="shared" si="21"/>
        <v>1090112</v>
      </c>
      <c r="H23" s="198">
        <f t="shared" si="21"/>
        <v>1059598</v>
      </c>
      <c r="I23" s="198">
        <f t="shared" si="21"/>
        <v>1089248</v>
      </c>
      <c r="J23" s="198">
        <f t="shared" si="21"/>
        <v>1004164</v>
      </c>
      <c r="K23" s="198">
        <f t="shared" si="21"/>
        <v>901213</v>
      </c>
      <c r="L23" s="198">
        <f t="shared" si="21"/>
        <v>893467</v>
      </c>
      <c r="M23" s="198">
        <f>M24+M25+M26</f>
        <v>913686</v>
      </c>
      <c r="N23" s="198">
        <f>N24+N25+N26</f>
        <v>833438</v>
      </c>
      <c r="O23" s="198">
        <f>O24+O25+O26</f>
        <v>842273</v>
      </c>
      <c r="P23" s="198">
        <f>P24+P25+P26</f>
        <v>785225</v>
      </c>
      <c r="Q23" s="13">
        <f t="shared" ref="Q23:R23" si="22">Q24+Q25+Q26</f>
        <v>848170</v>
      </c>
      <c r="R23" s="13">
        <f t="shared" si="22"/>
        <v>1033789.8999999999</v>
      </c>
      <c r="S23" s="348">
        <f t="shared" ref="S23:T23" si="23">S24+S25+S26</f>
        <v>1141871.5999999999</v>
      </c>
      <c r="T23" s="348">
        <f t="shared" si="23"/>
        <v>1257466.8</v>
      </c>
      <c r="U23" s="348">
        <f t="shared" ref="U23" si="24">U24+U25+U26</f>
        <v>1364204.9000000001</v>
      </c>
    </row>
    <row r="24" spans="1:21">
      <c r="A24" s="48" t="s">
        <v>20</v>
      </c>
      <c r="B24" s="49" t="s">
        <v>21</v>
      </c>
      <c r="C24" s="231">
        <v>249938</v>
      </c>
      <c r="D24" s="231">
        <v>267608</v>
      </c>
      <c r="E24" s="231">
        <v>231247</v>
      </c>
      <c r="F24" s="231">
        <v>153715</v>
      </c>
      <c r="G24" s="231">
        <v>117779</v>
      </c>
      <c r="H24" s="231">
        <v>136606</v>
      </c>
      <c r="I24" s="231">
        <v>151121</v>
      </c>
      <c r="J24" s="222">
        <v>150889</v>
      </c>
      <c r="K24" s="222">
        <v>162347</v>
      </c>
      <c r="L24" s="196">
        <v>169187</v>
      </c>
      <c r="M24" s="196">
        <v>226374</v>
      </c>
      <c r="N24" s="298">
        <v>273054</v>
      </c>
      <c r="O24" s="298">
        <v>255423</v>
      </c>
      <c r="P24" s="298">
        <v>378318</v>
      </c>
      <c r="Q24" s="302">
        <v>438743</v>
      </c>
      <c r="R24" s="302">
        <v>371072.3</v>
      </c>
      <c r="S24" s="298">
        <v>471569.2</v>
      </c>
      <c r="T24" s="298">
        <v>588389.9</v>
      </c>
      <c r="U24" s="298">
        <v>663722.4</v>
      </c>
    </row>
    <row r="25" spans="1:21">
      <c r="A25" s="50">
        <v>202</v>
      </c>
      <c r="B25" s="51" t="s">
        <v>22</v>
      </c>
      <c r="C25" s="231">
        <v>568183</v>
      </c>
      <c r="D25" s="231">
        <v>555190</v>
      </c>
      <c r="E25" s="231">
        <v>665051</v>
      </c>
      <c r="F25" s="231">
        <v>795718</v>
      </c>
      <c r="G25" s="231">
        <v>796170</v>
      </c>
      <c r="H25" s="231">
        <v>777777</v>
      </c>
      <c r="I25" s="231">
        <v>778853</v>
      </c>
      <c r="J25" s="221">
        <v>738494</v>
      </c>
      <c r="K25" s="221">
        <v>612358</v>
      </c>
      <c r="L25" s="199">
        <v>538940</v>
      </c>
      <c r="M25" s="199">
        <v>491250</v>
      </c>
      <c r="N25" s="300">
        <v>379349</v>
      </c>
      <c r="O25" s="300">
        <v>307152</v>
      </c>
      <c r="P25" s="300">
        <v>228708</v>
      </c>
      <c r="Q25" s="302">
        <v>199697</v>
      </c>
      <c r="R25" s="302">
        <v>450033.1</v>
      </c>
      <c r="S25" s="300">
        <v>454505</v>
      </c>
      <c r="T25" s="300">
        <v>455992.5</v>
      </c>
      <c r="U25" s="300">
        <v>457245.2</v>
      </c>
    </row>
    <row r="26" spans="1:21">
      <c r="A26" s="50">
        <v>205</v>
      </c>
      <c r="B26" s="52" t="s">
        <v>23</v>
      </c>
      <c r="C26" s="231">
        <v>493143</v>
      </c>
      <c r="D26" s="231">
        <v>185612</v>
      </c>
      <c r="E26" s="231">
        <v>171621</v>
      </c>
      <c r="F26" s="231">
        <v>200823</v>
      </c>
      <c r="G26" s="231">
        <v>176163</v>
      </c>
      <c r="H26" s="231">
        <v>145215</v>
      </c>
      <c r="I26" s="231">
        <v>159274</v>
      </c>
      <c r="J26" s="222">
        <v>114781</v>
      </c>
      <c r="K26" s="222">
        <v>126508</v>
      </c>
      <c r="L26" s="196">
        <v>185340</v>
      </c>
      <c r="M26" s="196">
        <v>196062</v>
      </c>
      <c r="N26" s="298">
        <v>181035</v>
      </c>
      <c r="O26" s="298">
        <v>279698</v>
      </c>
      <c r="P26" s="298">
        <v>178199</v>
      </c>
      <c r="Q26" s="302">
        <v>209730</v>
      </c>
      <c r="R26" s="302">
        <v>212684.5</v>
      </c>
      <c r="S26" s="298">
        <v>215797.4</v>
      </c>
      <c r="T26" s="298">
        <v>213084.4</v>
      </c>
      <c r="U26" s="298">
        <v>243237.3</v>
      </c>
    </row>
    <row r="27" spans="1:21">
      <c r="A27" s="35"/>
      <c r="B27" s="36"/>
      <c r="C27" s="232"/>
      <c r="D27" s="233"/>
      <c r="E27" s="232"/>
      <c r="F27" s="232"/>
      <c r="G27" s="238"/>
      <c r="H27" s="200"/>
      <c r="I27" s="234"/>
      <c r="J27" s="200"/>
      <c r="K27" s="200"/>
      <c r="L27" s="200"/>
      <c r="M27" s="200"/>
      <c r="N27" s="305"/>
      <c r="O27" s="305"/>
      <c r="P27" s="305"/>
      <c r="Q27" s="308"/>
      <c r="R27" s="308"/>
      <c r="S27" s="305"/>
      <c r="T27" s="305"/>
      <c r="U27" s="305"/>
    </row>
    <row r="28" spans="1:21">
      <c r="A28" s="11">
        <v>23</v>
      </c>
      <c r="B28" s="38" t="s">
        <v>24</v>
      </c>
      <c r="C28" s="198">
        <v>43367</v>
      </c>
      <c r="D28" s="198">
        <v>19547</v>
      </c>
      <c r="E28" s="198">
        <v>20382</v>
      </c>
      <c r="F28" s="198">
        <v>21922</v>
      </c>
      <c r="G28" s="198">
        <v>23397</v>
      </c>
      <c r="H28" s="198">
        <v>22151</v>
      </c>
      <c r="I28" s="198">
        <v>25965</v>
      </c>
      <c r="J28" s="198">
        <v>25249</v>
      </c>
      <c r="K28" s="198">
        <v>26138</v>
      </c>
      <c r="L28" s="198">
        <v>31468</v>
      </c>
      <c r="M28" s="198">
        <v>119486</v>
      </c>
      <c r="N28" s="313">
        <v>93711</v>
      </c>
      <c r="O28" s="313">
        <v>44708</v>
      </c>
      <c r="P28" s="313">
        <v>0</v>
      </c>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11522</v>
      </c>
      <c r="D30" s="198">
        <v>14454</v>
      </c>
      <c r="E30" s="198">
        <v>17834</v>
      </c>
      <c r="F30" s="198">
        <v>17103</v>
      </c>
      <c r="G30" s="198">
        <v>30915</v>
      </c>
      <c r="H30" s="198">
        <v>11342</v>
      </c>
      <c r="I30" s="198">
        <v>11873</v>
      </c>
      <c r="J30" s="198">
        <v>13408</v>
      </c>
      <c r="K30" s="198">
        <v>23236</v>
      </c>
      <c r="L30" s="198">
        <v>61178</v>
      </c>
      <c r="M30" s="198">
        <v>62467</v>
      </c>
      <c r="N30" s="313">
        <v>52505</v>
      </c>
      <c r="O30" s="313">
        <v>53971</v>
      </c>
      <c r="P30" s="313">
        <v>137755</v>
      </c>
      <c r="Q30" s="309">
        <v>123120</v>
      </c>
      <c r="R30" s="309">
        <v>114274.9</v>
      </c>
      <c r="S30" s="388">
        <v>54642.5</v>
      </c>
      <c r="T30" s="388">
        <v>49490.3</v>
      </c>
      <c r="U30" s="388">
        <v>48040.100000000006</v>
      </c>
    </row>
    <row r="31" spans="1:21">
      <c r="A31" s="44"/>
      <c r="B31" s="45"/>
      <c r="C31" s="231"/>
      <c r="D31" s="230"/>
      <c r="E31" s="229"/>
      <c r="F31" s="229"/>
      <c r="G31" s="198"/>
      <c r="H31" s="196"/>
      <c r="I31" s="196"/>
      <c r="J31" s="196"/>
      <c r="K31" s="196"/>
      <c r="L31" s="196"/>
      <c r="M31" s="196"/>
      <c r="N31" s="298"/>
      <c r="O31" s="298"/>
      <c r="P31" s="298"/>
      <c r="Q31" s="311"/>
      <c r="R31" s="311"/>
      <c r="S31" s="298"/>
      <c r="T31" s="298"/>
      <c r="U31" s="298"/>
    </row>
    <row r="32" spans="1:21">
      <c r="A32" s="54">
        <v>28</v>
      </c>
      <c r="B32" s="47" t="s">
        <v>26</v>
      </c>
      <c r="C32" s="198">
        <v>55474</v>
      </c>
      <c r="D32" s="198">
        <v>71584</v>
      </c>
      <c r="E32" s="198">
        <v>61707</v>
      </c>
      <c r="F32" s="198">
        <v>50948</v>
      </c>
      <c r="G32" s="198">
        <v>36772</v>
      </c>
      <c r="H32" s="198">
        <v>33512</v>
      </c>
      <c r="I32" s="198">
        <v>46289</v>
      </c>
      <c r="J32" s="198">
        <v>72662</v>
      </c>
      <c r="K32" s="198">
        <v>117684</v>
      </c>
      <c r="L32" s="198">
        <v>127814</v>
      </c>
      <c r="M32" s="198">
        <v>155109</v>
      </c>
      <c r="N32" s="313">
        <v>382315</v>
      </c>
      <c r="O32" s="313">
        <v>362494</v>
      </c>
      <c r="P32" s="313">
        <v>60622</v>
      </c>
      <c r="Q32" s="309">
        <v>113369</v>
      </c>
      <c r="R32" s="309">
        <v>241769.1</v>
      </c>
      <c r="S32" s="388">
        <v>287995.59999999998</v>
      </c>
      <c r="T32" s="388">
        <v>317014.3</v>
      </c>
      <c r="U32" s="388">
        <v>93154</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84571</v>
      </c>
      <c r="D34" s="198">
        <v>77326</v>
      </c>
      <c r="E34" s="198">
        <v>55967</v>
      </c>
      <c r="F34" s="198">
        <v>14475</v>
      </c>
      <c r="G34" s="198">
        <v>34768</v>
      </c>
      <c r="H34" s="198">
        <v>115509</v>
      </c>
      <c r="I34" s="198">
        <v>472601</v>
      </c>
      <c r="J34" s="198">
        <v>522685</v>
      </c>
      <c r="K34" s="198">
        <v>684108</v>
      </c>
      <c r="L34" s="198">
        <v>996651</v>
      </c>
      <c r="M34" s="198">
        <v>1116137</v>
      </c>
      <c r="N34" s="313">
        <v>1001136</v>
      </c>
      <c r="O34" s="313">
        <v>1049935</v>
      </c>
      <c r="P34" s="313">
        <v>2688855</v>
      </c>
      <c r="Q34" s="309">
        <v>2732414</v>
      </c>
      <c r="R34" s="309">
        <v>2326153.2000000002</v>
      </c>
      <c r="S34" s="388">
        <v>2298196.7000000002</v>
      </c>
      <c r="T34" s="388">
        <v>2400220.2999999998</v>
      </c>
      <c r="U34" s="388">
        <v>2476599.4</v>
      </c>
    </row>
    <row r="35" spans="1:21">
      <c r="A35" s="41"/>
      <c r="B35" s="42"/>
      <c r="C35" s="56"/>
      <c r="D35" s="57"/>
      <c r="E35" s="56"/>
      <c r="F35" s="56"/>
      <c r="G35" s="56"/>
      <c r="H35" s="56"/>
      <c r="I35" s="56"/>
      <c r="J35" s="165"/>
      <c r="K35" s="165"/>
      <c r="L35" s="167"/>
      <c r="M35" s="167"/>
      <c r="N35" s="167"/>
      <c r="O35" s="167"/>
      <c r="P35" s="167"/>
      <c r="Q35" s="311"/>
      <c r="R35" s="311"/>
      <c r="S35" s="360"/>
      <c r="T35" s="360"/>
      <c r="U35" s="360"/>
    </row>
    <row r="36" spans="1:21">
      <c r="A36" s="170"/>
      <c r="B36" s="60"/>
      <c r="C36" s="171"/>
      <c r="D36" s="172"/>
      <c r="E36" s="171"/>
      <c r="F36" s="173"/>
      <c r="G36" s="174"/>
      <c r="H36" s="173"/>
      <c r="I36" s="173"/>
      <c r="J36" s="155"/>
      <c r="K36" s="155"/>
      <c r="L36" s="225"/>
      <c r="M36" s="225"/>
      <c r="N36" s="225"/>
      <c r="O36" s="225"/>
      <c r="P36" s="225"/>
      <c r="Q36" s="341"/>
      <c r="R36" s="341"/>
      <c r="S36" s="362"/>
      <c r="T36" s="362"/>
      <c r="U36" s="362"/>
    </row>
    <row r="37" spans="1:21">
      <c r="A37" s="66"/>
      <c r="B37" s="66"/>
      <c r="C37" s="65"/>
      <c r="D37" s="65"/>
      <c r="E37" s="65"/>
      <c r="F37" s="67"/>
      <c r="G37" s="65"/>
      <c r="H37" s="68"/>
      <c r="I37" s="65"/>
      <c r="J37" s="152"/>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rgb="FF00B050"/>
  </sheetPr>
  <dimension ref="A1:U37"/>
  <sheetViews>
    <sheetView view="pageLayout" zoomScaleNormal="100" workbookViewId="0">
      <selection activeCell="T81" sqref="T81"/>
    </sheetView>
  </sheetViews>
  <sheetFormatPr baseColWidth="10" defaultRowHeight="12.75"/>
  <cols>
    <col min="1" max="1" width="8.42578125" customWidth="1"/>
    <col min="2" max="2" width="60.85546875" bestFit="1" customWidth="1"/>
    <col min="3" max="8" width="10.7109375" bestFit="1" customWidth="1"/>
    <col min="9" max="9" width="12.28515625" bestFit="1" customWidth="1"/>
    <col min="18" max="18" width="11.7109375" style="78" customWidth="1"/>
    <col min="19" max="21" width="15.42578125" style="78" bestFit="1" customWidth="1"/>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5" customFormat="1">
      <c r="A2" s="352" t="s">
        <v>52</v>
      </c>
      <c r="B2" s="8" t="s">
        <v>71</v>
      </c>
      <c r="C2" s="79"/>
      <c r="D2" s="79"/>
      <c r="E2" s="79"/>
      <c r="F2" s="79"/>
      <c r="G2" s="79"/>
      <c r="H2" s="79"/>
      <c r="I2" s="79"/>
      <c r="J2" s="349"/>
      <c r="K2" s="349"/>
      <c r="L2" s="349"/>
      <c r="M2" s="349"/>
      <c r="N2" s="349"/>
      <c r="O2" s="349" t="s">
        <v>103</v>
      </c>
      <c r="P2" s="349" t="s">
        <v>103</v>
      </c>
      <c r="Q2" s="350" t="s">
        <v>103</v>
      </c>
      <c r="R2" s="350" t="s">
        <v>103</v>
      </c>
      <c r="S2" s="350" t="s">
        <v>103</v>
      </c>
      <c r="T2" s="350" t="s">
        <v>103</v>
      </c>
      <c r="U2" s="350" t="s">
        <v>103</v>
      </c>
    </row>
    <row r="3" spans="1:21">
      <c r="A3" s="186"/>
      <c r="B3" s="9"/>
      <c r="C3" s="9" t="s">
        <v>106</v>
      </c>
      <c r="D3" s="9" t="s">
        <v>106</v>
      </c>
      <c r="E3" s="9" t="s">
        <v>106</v>
      </c>
      <c r="F3" s="9" t="s">
        <v>106</v>
      </c>
      <c r="G3" s="9" t="s">
        <v>106</v>
      </c>
      <c r="H3" s="9" t="s">
        <v>106</v>
      </c>
      <c r="I3" s="9" t="s">
        <v>106</v>
      </c>
      <c r="J3" s="9" t="s">
        <v>106</v>
      </c>
      <c r="K3" s="9" t="s">
        <v>106</v>
      </c>
      <c r="L3" s="9" t="s">
        <v>106</v>
      </c>
      <c r="M3" s="9" t="s">
        <v>106</v>
      </c>
      <c r="N3" s="9" t="s">
        <v>106</v>
      </c>
      <c r="O3" s="9" t="s">
        <v>4</v>
      </c>
      <c r="P3" s="9" t="s">
        <v>4</v>
      </c>
      <c r="Q3" s="343" t="s">
        <v>4</v>
      </c>
      <c r="R3" s="343" t="s">
        <v>4</v>
      </c>
      <c r="S3" s="343" t="s">
        <v>4</v>
      </c>
      <c r="T3" s="343" t="s">
        <v>4</v>
      </c>
      <c r="U3" s="343" t="s">
        <v>4</v>
      </c>
    </row>
    <row r="4" spans="1:21">
      <c r="A4" s="11">
        <v>1</v>
      </c>
      <c r="B4" s="12" t="s">
        <v>32</v>
      </c>
      <c r="C4" s="87">
        <f t="shared" ref="C4:H4" si="0">C6+C11+C18+C16</f>
        <v>631749</v>
      </c>
      <c r="D4" s="87">
        <f t="shared" si="0"/>
        <v>633589</v>
      </c>
      <c r="E4" s="87">
        <f t="shared" si="0"/>
        <v>634570</v>
      </c>
      <c r="F4" s="87">
        <f t="shared" si="0"/>
        <v>667726</v>
      </c>
      <c r="G4" s="87">
        <f t="shared" si="0"/>
        <v>633128</v>
      </c>
      <c r="H4" s="87">
        <f t="shared" si="0"/>
        <v>818989</v>
      </c>
      <c r="I4" s="13">
        <f t="shared" ref="I4:O4" si="1">I6+I11+I16+I18</f>
        <v>713081</v>
      </c>
      <c r="J4" s="13">
        <f t="shared" si="1"/>
        <v>703226</v>
      </c>
      <c r="K4" s="13">
        <f t="shared" si="1"/>
        <v>656059</v>
      </c>
      <c r="L4" s="198">
        <f t="shared" si="1"/>
        <v>655801</v>
      </c>
      <c r="M4" s="198">
        <f t="shared" si="1"/>
        <v>678934</v>
      </c>
      <c r="N4" s="198">
        <f t="shared" si="1"/>
        <v>1772638.3426000001</v>
      </c>
      <c r="O4" s="198">
        <f t="shared" si="1"/>
        <v>702370.89339999994</v>
      </c>
      <c r="P4" s="198">
        <f t="shared" ref="P4:Q4" si="2">P6+P11+P16+P18</f>
        <v>732358.35533000005</v>
      </c>
      <c r="Q4" s="13">
        <f t="shared" si="2"/>
        <v>715682.02186999994</v>
      </c>
      <c r="R4" s="13">
        <f t="shared" ref="R4" si="3">R6+R11+R16+R18</f>
        <v>730343.28454000014</v>
      </c>
      <c r="S4" s="348">
        <f t="shared" ref="S4:T4" si="4">S6+S11+S16+S18</f>
        <v>710079.99973000004</v>
      </c>
      <c r="T4" s="348">
        <f t="shared" si="4"/>
        <v>757705.95259999996</v>
      </c>
      <c r="U4" s="348">
        <f t="shared" ref="U4" si="5">U6+U11+U16+U18</f>
        <v>833643.81180000002</v>
      </c>
    </row>
    <row r="5" spans="1:21">
      <c r="A5" s="14"/>
      <c r="B5" s="15"/>
      <c r="C5" s="16"/>
      <c r="D5" s="17"/>
      <c r="E5" s="16"/>
      <c r="F5" s="16"/>
      <c r="G5" s="149"/>
      <c r="H5" s="18"/>
      <c r="I5" s="18"/>
      <c r="J5" s="18"/>
      <c r="K5" s="18"/>
      <c r="L5" s="196"/>
      <c r="M5" s="196"/>
      <c r="N5" s="196"/>
      <c r="O5" s="196"/>
      <c r="P5" s="196"/>
      <c r="Q5" s="18"/>
      <c r="R5" s="18"/>
      <c r="S5" s="298"/>
      <c r="T5" s="298"/>
      <c r="U5" s="298"/>
    </row>
    <row r="6" spans="1:21">
      <c r="A6" s="19">
        <v>10</v>
      </c>
      <c r="B6" s="12" t="s">
        <v>33</v>
      </c>
      <c r="C6" s="13">
        <f t="shared" ref="C6:H6" si="6">C7+C8+C9</f>
        <v>192844</v>
      </c>
      <c r="D6" s="13">
        <f t="shared" si="6"/>
        <v>174862</v>
      </c>
      <c r="E6" s="13">
        <f t="shared" si="6"/>
        <v>166745</v>
      </c>
      <c r="F6" s="13">
        <f t="shared" si="6"/>
        <v>180625</v>
      </c>
      <c r="G6" s="13">
        <f t="shared" si="6"/>
        <v>225334</v>
      </c>
      <c r="H6" s="13">
        <f t="shared" si="6"/>
        <v>405151</v>
      </c>
      <c r="I6" s="13">
        <f t="shared" ref="I6:N6" si="7">I7+I8+I9</f>
        <v>294404</v>
      </c>
      <c r="J6" s="13">
        <f t="shared" si="7"/>
        <v>276469</v>
      </c>
      <c r="K6" s="13">
        <f t="shared" si="7"/>
        <v>225069</v>
      </c>
      <c r="L6" s="198">
        <f t="shared" si="7"/>
        <v>209803</v>
      </c>
      <c r="M6" s="198">
        <f t="shared" si="7"/>
        <v>222877</v>
      </c>
      <c r="N6" s="198">
        <f t="shared" si="7"/>
        <v>1302642.71187</v>
      </c>
      <c r="O6" s="198">
        <f t="shared" ref="O6:T6" si="8">O7+O8+O9</f>
        <v>231452.80030999999</v>
      </c>
      <c r="P6" s="198">
        <f t="shared" si="8"/>
        <v>261013.89446000001</v>
      </c>
      <c r="Q6" s="13">
        <f t="shared" si="8"/>
        <v>242397.88986999998</v>
      </c>
      <c r="R6" s="13">
        <f t="shared" si="8"/>
        <v>258430.79262000002</v>
      </c>
      <c r="S6" s="348">
        <f t="shared" si="8"/>
        <v>241589.05379999999</v>
      </c>
      <c r="T6" s="348">
        <f t="shared" si="8"/>
        <v>293313.82283000002</v>
      </c>
      <c r="U6" s="348">
        <f t="shared" ref="U6" si="9">U7+U8+U9</f>
        <v>367330.89208999998</v>
      </c>
    </row>
    <row r="7" spans="1:21">
      <c r="A7" s="20" t="s">
        <v>7</v>
      </c>
      <c r="B7" s="21" t="s">
        <v>34</v>
      </c>
      <c r="C7" s="164">
        <v>67062</v>
      </c>
      <c r="D7" s="164">
        <v>74107</v>
      </c>
      <c r="E7" s="164">
        <v>68846</v>
      </c>
      <c r="F7" s="164">
        <v>119760</v>
      </c>
      <c r="G7" s="164">
        <v>138717</v>
      </c>
      <c r="H7" s="164">
        <v>279054</v>
      </c>
      <c r="I7" s="164">
        <v>169157</v>
      </c>
      <c r="J7" s="18">
        <v>131467</v>
      </c>
      <c r="K7" s="18">
        <v>176609</v>
      </c>
      <c r="L7" s="196">
        <v>159233</v>
      </c>
      <c r="M7" s="196">
        <v>171006</v>
      </c>
      <c r="N7" s="298">
        <v>1252114.66289</v>
      </c>
      <c r="O7" s="298">
        <v>180778.76366999999</v>
      </c>
      <c r="P7" s="298">
        <v>209509.04525</v>
      </c>
      <c r="Q7" s="302">
        <v>191197.36916999999</v>
      </c>
      <c r="R7" s="302">
        <v>205440.68692000001</v>
      </c>
      <c r="S7" s="298">
        <v>184596.52470000001</v>
      </c>
      <c r="T7" s="298">
        <v>226945.92170000001</v>
      </c>
      <c r="U7" s="298">
        <v>305123.98992999998</v>
      </c>
    </row>
    <row r="8" spans="1:21">
      <c r="A8" s="25">
        <v>102</v>
      </c>
      <c r="B8" s="26" t="s">
        <v>35</v>
      </c>
      <c r="C8" s="164">
        <v>39037</v>
      </c>
      <c r="D8" s="164">
        <v>26551</v>
      </c>
      <c r="E8" s="164">
        <v>18745</v>
      </c>
      <c r="F8" s="164">
        <v>17968</v>
      </c>
      <c r="G8" s="164">
        <v>17025</v>
      </c>
      <c r="H8" s="164">
        <v>55947</v>
      </c>
      <c r="I8" s="164">
        <v>55935</v>
      </c>
      <c r="J8" s="197">
        <v>50584</v>
      </c>
      <c r="K8" s="197">
        <v>9702</v>
      </c>
      <c r="L8" s="199">
        <v>9513</v>
      </c>
      <c r="M8" s="199">
        <v>10605</v>
      </c>
      <c r="N8" s="300">
        <v>9105.2590500000006</v>
      </c>
      <c r="O8" s="300">
        <v>9060.2034499999991</v>
      </c>
      <c r="P8" s="300">
        <v>8861.6877499999991</v>
      </c>
      <c r="Q8" s="302">
        <v>9199.1451500000003</v>
      </c>
      <c r="R8" s="302">
        <v>9683.2306500000013</v>
      </c>
      <c r="S8" s="300">
        <v>10328.602849999999</v>
      </c>
      <c r="T8" s="300">
        <v>15497.71895</v>
      </c>
      <c r="U8" s="300">
        <v>14615.718129999999</v>
      </c>
    </row>
    <row r="9" spans="1:21">
      <c r="A9" s="25">
        <v>103</v>
      </c>
      <c r="B9" s="26" t="s">
        <v>36</v>
      </c>
      <c r="C9" s="164">
        <v>86745</v>
      </c>
      <c r="D9" s="164">
        <v>74204</v>
      </c>
      <c r="E9" s="164">
        <v>79154</v>
      </c>
      <c r="F9" s="164">
        <v>42897</v>
      </c>
      <c r="G9" s="164">
        <v>69592</v>
      </c>
      <c r="H9" s="164">
        <v>70150</v>
      </c>
      <c r="I9" s="164">
        <v>69312</v>
      </c>
      <c r="J9" s="18">
        <v>94418</v>
      </c>
      <c r="K9" s="18">
        <v>38758</v>
      </c>
      <c r="L9" s="196">
        <v>41057</v>
      </c>
      <c r="M9" s="196">
        <v>41266</v>
      </c>
      <c r="N9" s="298">
        <v>41422.789929999999</v>
      </c>
      <c r="O9" s="298">
        <v>41613.833189999998</v>
      </c>
      <c r="P9" s="298">
        <v>42643.161460000003</v>
      </c>
      <c r="Q9" s="302">
        <v>42001.375549999997</v>
      </c>
      <c r="R9" s="302">
        <v>43306.875050000002</v>
      </c>
      <c r="S9" s="298">
        <v>46663.926249999997</v>
      </c>
      <c r="T9" s="298">
        <v>50870.182180000003</v>
      </c>
      <c r="U9" s="298">
        <v>47591.184030000004</v>
      </c>
    </row>
    <row r="10" spans="1:21">
      <c r="A10" s="28"/>
      <c r="B10" s="29"/>
      <c r="C10" s="30"/>
      <c r="D10" s="31"/>
      <c r="E10" s="30"/>
      <c r="F10" s="30"/>
      <c r="G10" s="149"/>
      <c r="H10" s="18"/>
      <c r="I10" s="18"/>
      <c r="J10" s="18"/>
      <c r="K10" s="18"/>
      <c r="L10" s="196"/>
      <c r="M10" s="196"/>
      <c r="N10" s="196"/>
      <c r="O10" s="196"/>
      <c r="P10" s="196"/>
      <c r="Q10" s="18"/>
      <c r="R10" s="18"/>
      <c r="S10" s="298"/>
      <c r="T10" s="298"/>
      <c r="U10" s="298"/>
    </row>
    <row r="11" spans="1:21">
      <c r="A11" s="19">
        <v>11</v>
      </c>
      <c r="B11" s="12" t="s">
        <v>37</v>
      </c>
      <c r="C11" s="13">
        <f t="shared" ref="C11:H11" si="10">C12+C13+C14</f>
        <v>386940</v>
      </c>
      <c r="D11" s="13">
        <f t="shared" si="10"/>
        <v>392518</v>
      </c>
      <c r="E11" s="13">
        <f t="shared" si="10"/>
        <v>402600</v>
      </c>
      <c r="F11" s="13">
        <f t="shared" si="10"/>
        <v>405083</v>
      </c>
      <c r="G11" s="13">
        <f t="shared" si="10"/>
        <v>407794</v>
      </c>
      <c r="H11" s="13">
        <f t="shared" si="10"/>
        <v>413838</v>
      </c>
      <c r="I11" s="13">
        <f t="shared" ref="I11:N11" si="11">I12+I13+I14</f>
        <v>418677</v>
      </c>
      <c r="J11" s="13">
        <f t="shared" si="11"/>
        <v>426757</v>
      </c>
      <c r="K11" s="13">
        <f t="shared" si="11"/>
        <v>430990</v>
      </c>
      <c r="L11" s="198">
        <f t="shared" si="11"/>
        <v>445998</v>
      </c>
      <c r="M11" s="198">
        <f t="shared" si="11"/>
        <v>456057</v>
      </c>
      <c r="N11" s="198">
        <f t="shared" si="11"/>
        <v>469995.63072999998</v>
      </c>
      <c r="O11" s="198">
        <f>O12+O13+O14</f>
        <v>470918.09308999998</v>
      </c>
      <c r="P11" s="198">
        <f>P12+P13+P14</f>
        <v>471344.46087000001</v>
      </c>
      <c r="Q11" s="13">
        <f t="shared" ref="Q11" si="12">Q12+Q13+Q14</f>
        <v>473284.13199999998</v>
      </c>
      <c r="R11" s="13">
        <f t="shared" ref="R11" si="13">R12+R13+R14</f>
        <v>471912.49192000006</v>
      </c>
      <c r="S11" s="348">
        <f t="shared" ref="S11:T11" si="14">S12+S13+S14</f>
        <v>468490.94592999999</v>
      </c>
      <c r="T11" s="348">
        <f t="shared" si="14"/>
        <v>464392.12977</v>
      </c>
      <c r="U11" s="348">
        <f t="shared" ref="U11" si="15">U12+U13+U14</f>
        <v>466312.91971000005</v>
      </c>
    </row>
    <row r="12" spans="1:21">
      <c r="A12" s="32">
        <v>114</v>
      </c>
      <c r="B12" s="21" t="s">
        <v>38</v>
      </c>
      <c r="C12" s="164">
        <v>194916</v>
      </c>
      <c r="D12" s="164">
        <v>194115</v>
      </c>
      <c r="E12" s="164">
        <v>199971</v>
      </c>
      <c r="F12" s="164">
        <v>203848</v>
      </c>
      <c r="G12" s="164">
        <v>205852</v>
      </c>
      <c r="H12" s="164">
        <v>208643</v>
      </c>
      <c r="I12" s="164">
        <v>208154</v>
      </c>
      <c r="J12" s="18">
        <v>163861</v>
      </c>
      <c r="K12" s="18">
        <v>169722</v>
      </c>
      <c r="L12" s="196">
        <v>183128</v>
      </c>
      <c r="M12" s="196">
        <v>194446</v>
      </c>
      <c r="N12" s="298">
        <v>206407.58603000001</v>
      </c>
      <c r="O12" s="298">
        <v>217848.12938999999</v>
      </c>
      <c r="P12" s="298">
        <v>229797.50722</v>
      </c>
      <c r="Q12" s="302">
        <v>241145.63785</v>
      </c>
      <c r="R12" s="302">
        <v>250069.58575999999</v>
      </c>
      <c r="S12" s="298">
        <v>253651.85540999999</v>
      </c>
      <c r="T12" s="298">
        <v>252462.54367000001</v>
      </c>
      <c r="U12" s="298">
        <v>256236.80116</v>
      </c>
    </row>
    <row r="13" spans="1:21">
      <c r="A13" s="25">
        <v>115</v>
      </c>
      <c r="B13" s="26" t="s">
        <v>39</v>
      </c>
      <c r="C13" s="164">
        <v>97077</v>
      </c>
      <c r="D13" s="164">
        <v>107765</v>
      </c>
      <c r="E13" s="164">
        <v>109268</v>
      </c>
      <c r="F13" s="164">
        <v>108711</v>
      </c>
      <c r="G13" s="164">
        <v>108677</v>
      </c>
      <c r="H13" s="164">
        <v>111693</v>
      </c>
      <c r="I13" s="164">
        <v>116355</v>
      </c>
      <c r="J13" s="197">
        <v>118095</v>
      </c>
      <c r="K13" s="197">
        <v>114778</v>
      </c>
      <c r="L13" s="199">
        <v>115309</v>
      </c>
      <c r="M13" s="199">
        <v>113806</v>
      </c>
      <c r="N13" s="300">
        <v>118173.48824999999</v>
      </c>
      <c r="O13" s="300">
        <v>117919.018</v>
      </c>
      <c r="P13" s="300">
        <v>117017.54905</v>
      </c>
      <c r="Q13" s="302">
        <v>117274.7448</v>
      </c>
      <c r="R13" s="302">
        <v>116149.02796000001</v>
      </c>
      <c r="S13" s="300">
        <v>118402.47265000001</v>
      </c>
      <c r="T13" s="300">
        <v>121102.85475</v>
      </c>
      <c r="U13" s="300">
        <v>122720.25685000001</v>
      </c>
    </row>
    <row r="14" spans="1:21">
      <c r="A14" s="33" t="s">
        <v>14</v>
      </c>
      <c r="B14" s="34" t="s">
        <v>53</v>
      </c>
      <c r="C14" s="164">
        <v>94947</v>
      </c>
      <c r="D14" s="164">
        <v>90638</v>
      </c>
      <c r="E14" s="164">
        <v>93361</v>
      </c>
      <c r="F14" s="164">
        <v>92524</v>
      </c>
      <c r="G14" s="164">
        <v>93265</v>
      </c>
      <c r="H14" s="164">
        <v>93502</v>
      </c>
      <c r="I14" s="164">
        <v>94168</v>
      </c>
      <c r="J14" s="18">
        <v>144801</v>
      </c>
      <c r="K14" s="18">
        <v>146490</v>
      </c>
      <c r="L14" s="196">
        <v>147561</v>
      </c>
      <c r="M14" s="196">
        <v>147805</v>
      </c>
      <c r="N14" s="298">
        <v>145414.55645</v>
      </c>
      <c r="O14" s="298">
        <v>135150.94570000001</v>
      </c>
      <c r="P14" s="298">
        <v>124529.40459999999</v>
      </c>
      <c r="Q14" s="302">
        <v>114863.74935</v>
      </c>
      <c r="R14" s="302">
        <v>105693.87820000001</v>
      </c>
      <c r="S14" s="298">
        <v>96436.617870000002</v>
      </c>
      <c r="T14" s="298">
        <v>90826.731350000002</v>
      </c>
      <c r="U14" s="298">
        <v>87355.861700000009</v>
      </c>
    </row>
    <row r="15" spans="1:21">
      <c r="A15" s="35"/>
      <c r="B15" s="36"/>
      <c r="C15" s="30"/>
      <c r="D15" s="31"/>
      <c r="E15" s="30"/>
      <c r="F15" s="30"/>
      <c r="G15" s="149"/>
      <c r="H15" s="37"/>
      <c r="I15" s="156"/>
      <c r="J15" s="37"/>
      <c r="K15" s="37"/>
      <c r="L15" s="200"/>
      <c r="M15" s="200"/>
      <c r="N15" s="305"/>
      <c r="O15" s="305"/>
      <c r="P15" s="305"/>
      <c r="Q15" s="308"/>
      <c r="R15" s="308"/>
      <c r="S15" s="305"/>
      <c r="T15" s="305"/>
      <c r="U15" s="305"/>
    </row>
    <row r="16" spans="1:21">
      <c r="A16" s="11">
        <v>12</v>
      </c>
      <c r="B16" s="38" t="s">
        <v>41</v>
      </c>
      <c r="C16" s="13">
        <v>0</v>
      </c>
      <c r="D16" s="13">
        <v>0</v>
      </c>
      <c r="E16" s="13">
        <v>0</v>
      </c>
      <c r="F16" s="13">
        <v>0</v>
      </c>
      <c r="G16" s="13">
        <v>0</v>
      </c>
      <c r="H16" s="13">
        <v>0</v>
      </c>
      <c r="I16" s="13">
        <v>0</v>
      </c>
      <c r="J16" s="13">
        <v>0</v>
      </c>
      <c r="K16" s="13">
        <v>0</v>
      </c>
      <c r="L16" s="198">
        <v>0</v>
      </c>
      <c r="M16" s="198">
        <v>0</v>
      </c>
      <c r="N16" s="313">
        <v>0</v>
      </c>
      <c r="O16" s="313">
        <v>0</v>
      </c>
      <c r="P16" s="313">
        <v>0</v>
      </c>
      <c r="Q16" s="309">
        <v>0</v>
      </c>
      <c r="R16" s="309">
        <v>0</v>
      </c>
      <c r="S16" s="388">
        <v>0</v>
      </c>
      <c r="T16" s="388">
        <v>0</v>
      </c>
      <c r="U16" s="388">
        <v>0</v>
      </c>
    </row>
    <row r="17" spans="1:21">
      <c r="A17" s="39"/>
      <c r="B17" s="40"/>
      <c r="C17" s="16"/>
      <c r="D17" s="17"/>
      <c r="E17" s="16"/>
      <c r="F17" s="16"/>
      <c r="G17" s="91"/>
      <c r="H17" s="18"/>
      <c r="I17" s="18"/>
      <c r="J17" s="18"/>
      <c r="K17" s="18"/>
      <c r="L17" s="196"/>
      <c r="M17" s="196"/>
      <c r="N17" s="298"/>
      <c r="O17" s="298"/>
      <c r="P17" s="298"/>
      <c r="Q17" s="311"/>
      <c r="R17" s="311"/>
      <c r="S17" s="298"/>
      <c r="T17" s="298"/>
      <c r="U17" s="298"/>
    </row>
    <row r="18" spans="1:21">
      <c r="A18" s="11">
        <v>13</v>
      </c>
      <c r="B18" s="38" t="s">
        <v>42</v>
      </c>
      <c r="C18" s="13">
        <v>51965</v>
      </c>
      <c r="D18" s="13">
        <v>66209</v>
      </c>
      <c r="E18" s="13">
        <v>65225</v>
      </c>
      <c r="F18" s="13">
        <v>82018</v>
      </c>
      <c r="G18" s="13">
        <v>0</v>
      </c>
      <c r="H18" s="13">
        <v>0</v>
      </c>
      <c r="I18" s="13">
        <v>0</v>
      </c>
      <c r="J18" s="13">
        <v>0</v>
      </c>
      <c r="K18" s="13">
        <v>0</v>
      </c>
      <c r="L18" s="198">
        <v>0</v>
      </c>
      <c r="M18" s="198">
        <v>0</v>
      </c>
      <c r="N18" s="313">
        <v>0</v>
      </c>
      <c r="O18" s="313">
        <v>0</v>
      </c>
      <c r="P18" s="313">
        <v>0</v>
      </c>
      <c r="Q18" s="309">
        <v>0</v>
      </c>
      <c r="R18" s="309">
        <v>0</v>
      </c>
      <c r="S18" s="388">
        <v>0</v>
      </c>
      <c r="T18" s="388">
        <v>0</v>
      </c>
      <c r="U18" s="388">
        <v>0</v>
      </c>
    </row>
    <row r="19" spans="1:21">
      <c r="A19" s="41"/>
      <c r="B19" s="42"/>
      <c r="C19" s="22"/>
      <c r="D19" s="23"/>
      <c r="E19" s="22"/>
      <c r="F19" s="22"/>
      <c r="G19" s="56"/>
      <c r="H19" s="18"/>
      <c r="I19" s="18"/>
      <c r="J19" s="18"/>
      <c r="K19" s="18"/>
      <c r="L19" s="196"/>
      <c r="M19" s="196"/>
      <c r="N19" s="298"/>
      <c r="O19" s="298"/>
      <c r="P19" s="298"/>
      <c r="Q19" s="311"/>
      <c r="R19" s="311"/>
      <c r="S19" s="298"/>
      <c r="T19" s="298"/>
      <c r="U19" s="298"/>
    </row>
    <row r="20" spans="1:21">
      <c r="A20" s="43"/>
      <c r="B20" s="36"/>
      <c r="C20" s="30"/>
      <c r="D20" s="31"/>
      <c r="E20" s="30"/>
      <c r="F20" s="30"/>
      <c r="G20" s="150"/>
      <c r="H20" s="37"/>
      <c r="I20" s="156"/>
      <c r="J20" s="37"/>
      <c r="K20" s="37"/>
      <c r="L20" s="200"/>
      <c r="M20" s="200"/>
      <c r="N20" s="305"/>
      <c r="O20" s="305"/>
      <c r="P20" s="305"/>
      <c r="Q20" s="308"/>
      <c r="R20" s="308"/>
      <c r="S20" s="305"/>
      <c r="T20" s="305"/>
      <c r="U20" s="305"/>
    </row>
    <row r="21" spans="1:21">
      <c r="A21" s="11">
        <v>2</v>
      </c>
      <c r="B21" s="38" t="s">
        <v>43</v>
      </c>
      <c r="C21" s="13">
        <f t="shared" ref="C21:H21" si="16">C23+C28+C30+C32+C34</f>
        <v>631749</v>
      </c>
      <c r="D21" s="13">
        <f t="shared" si="16"/>
        <v>633589</v>
      </c>
      <c r="E21" s="13">
        <f t="shared" si="16"/>
        <v>634570</v>
      </c>
      <c r="F21" s="13">
        <f t="shared" si="16"/>
        <v>667726</v>
      </c>
      <c r="G21" s="13">
        <f t="shared" si="16"/>
        <v>633128</v>
      </c>
      <c r="H21" s="13">
        <f t="shared" si="16"/>
        <v>818989</v>
      </c>
      <c r="I21" s="13">
        <f t="shared" ref="I21:N21" si="17">I23+I28+I30+I32+I34</f>
        <v>713081</v>
      </c>
      <c r="J21" s="13">
        <f t="shared" si="17"/>
        <v>703226</v>
      </c>
      <c r="K21" s="13">
        <f t="shared" si="17"/>
        <v>656059</v>
      </c>
      <c r="L21" s="198">
        <f t="shared" si="17"/>
        <v>655801</v>
      </c>
      <c r="M21" s="198">
        <f t="shared" si="17"/>
        <v>678934</v>
      </c>
      <c r="N21" s="198">
        <f t="shared" si="17"/>
        <v>696619.78593000001</v>
      </c>
      <c r="O21" s="198">
        <f>O23+O28+O30+O32+O34</f>
        <v>702370.89339999994</v>
      </c>
      <c r="P21" s="198">
        <f>P23+P28+P30+P32+P34</f>
        <v>732358.35532999993</v>
      </c>
      <c r="Q21" s="13">
        <f t="shared" ref="Q21:R21" si="18">Q23+Q28+Q30+Q32+Q34</f>
        <v>715682.02187000006</v>
      </c>
      <c r="R21" s="13">
        <f t="shared" si="18"/>
        <v>730343.28454000002</v>
      </c>
      <c r="S21" s="348">
        <f t="shared" ref="S21:T21" si="19">S23+S28+S30+S32+S34</f>
        <v>710079.99973000004</v>
      </c>
      <c r="T21" s="348">
        <f t="shared" si="19"/>
        <v>757705.97455000004</v>
      </c>
      <c r="U21" s="348">
        <f t="shared" ref="U21" si="20">U23+U28+U30+U32+U34</f>
        <v>833643.81180000002</v>
      </c>
    </row>
    <row r="22" spans="1:21">
      <c r="A22" s="44"/>
      <c r="B22" s="45"/>
      <c r="C22" s="16"/>
      <c r="D22" s="17"/>
      <c r="E22" s="16"/>
      <c r="F22" s="16"/>
      <c r="G22" s="56"/>
      <c r="H22" s="18"/>
      <c r="I22" s="18"/>
      <c r="J22" s="18"/>
      <c r="K22" s="18"/>
      <c r="L22" s="196"/>
      <c r="M22" s="196"/>
      <c r="N22" s="196"/>
      <c r="O22" s="196"/>
      <c r="P22" s="196"/>
      <c r="Q22" s="18"/>
      <c r="R22" s="18"/>
      <c r="S22" s="298"/>
      <c r="T22" s="298"/>
      <c r="U22" s="298"/>
    </row>
    <row r="23" spans="1:21">
      <c r="A23" s="46">
        <v>20</v>
      </c>
      <c r="B23" s="47" t="s">
        <v>44</v>
      </c>
      <c r="C23" s="13">
        <f t="shared" ref="C23:H23" si="21">C24+C25+C26</f>
        <v>616674</v>
      </c>
      <c r="D23" s="13">
        <f t="shared" si="21"/>
        <v>617588</v>
      </c>
      <c r="E23" s="13">
        <f t="shared" si="21"/>
        <v>601579</v>
      </c>
      <c r="F23" s="13">
        <f t="shared" si="21"/>
        <v>635190</v>
      </c>
      <c r="G23" s="13">
        <f t="shared" si="21"/>
        <v>592833</v>
      </c>
      <c r="H23" s="13">
        <f t="shared" si="21"/>
        <v>527031</v>
      </c>
      <c r="I23" s="13">
        <f t="shared" ref="I23:N23" si="22">I24+I25+I26</f>
        <v>478880</v>
      </c>
      <c r="J23" s="13">
        <f t="shared" si="22"/>
        <v>472797</v>
      </c>
      <c r="K23" s="13">
        <f t="shared" si="22"/>
        <v>413817</v>
      </c>
      <c r="L23" s="198">
        <f t="shared" si="22"/>
        <v>411677</v>
      </c>
      <c r="M23" s="198">
        <f t="shared" si="22"/>
        <v>436315</v>
      </c>
      <c r="N23" s="198">
        <f t="shared" si="22"/>
        <v>453416.75039</v>
      </c>
      <c r="O23" s="198">
        <f>O24+O25+O26</f>
        <v>471465.13092999998</v>
      </c>
      <c r="P23" s="198">
        <f>P24+P25+P26</f>
        <v>510581.42661999993</v>
      </c>
      <c r="Q23" s="13">
        <f t="shared" ref="Q23:R23" si="23">Q24+Q25+Q26</f>
        <v>529186.95958000002</v>
      </c>
      <c r="R23" s="13">
        <f t="shared" si="23"/>
        <v>521635.39582000003</v>
      </c>
      <c r="S23" s="348">
        <f t="shared" ref="S23:T23" si="24">S24+S25+S26</f>
        <v>508097.74163</v>
      </c>
      <c r="T23" s="348">
        <f t="shared" si="24"/>
        <v>559486.27771000005</v>
      </c>
      <c r="U23" s="348">
        <f t="shared" ref="U23" si="25">U24+U25+U26</f>
        <v>638296.21993000002</v>
      </c>
    </row>
    <row r="24" spans="1:21">
      <c r="A24" s="48" t="s">
        <v>20</v>
      </c>
      <c r="B24" s="49" t="s">
        <v>58</v>
      </c>
      <c r="C24" s="164">
        <v>62423</v>
      </c>
      <c r="D24" s="164">
        <v>86547</v>
      </c>
      <c r="E24" s="164">
        <v>62002</v>
      </c>
      <c r="F24" s="164">
        <v>88096</v>
      </c>
      <c r="G24" s="164">
        <v>76207</v>
      </c>
      <c r="H24" s="164">
        <v>59505</v>
      </c>
      <c r="I24" s="164">
        <v>57361</v>
      </c>
      <c r="J24" s="18">
        <v>73622</v>
      </c>
      <c r="K24" s="18">
        <v>63924</v>
      </c>
      <c r="L24" s="196">
        <v>80952</v>
      </c>
      <c r="M24" s="196">
        <v>107070</v>
      </c>
      <c r="N24" s="298">
        <v>119219.41634</v>
      </c>
      <c r="O24" s="298">
        <v>158422.04942</v>
      </c>
      <c r="P24" s="298">
        <v>188184.6439</v>
      </c>
      <c r="Q24" s="302">
        <v>135590.61686000001</v>
      </c>
      <c r="R24" s="302">
        <v>122296.70766</v>
      </c>
      <c r="S24" s="298">
        <v>120341.10000999999</v>
      </c>
      <c r="T24" s="298">
        <v>169287.84909</v>
      </c>
      <c r="U24" s="298">
        <v>242071.85156000001</v>
      </c>
    </row>
    <row r="25" spans="1:21">
      <c r="A25" s="50">
        <v>202</v>
      </c>
      <c r="B25" s="51" t="s">
        <v>59</v>
      </c>
      <c r="C25" s="164">
        <v>517830</v>
      </c>
      <c r="D25" s="164">
        <v>505049</v>
      </c>
      <c r="E25" s="164">
        <v>515085</v>
      </c>
      <c r="F25" s="164">
        <v>520101</v>
      </c>
      <c r="G25" s="164">
        <v>491157</v>
      </c>
      <c r="H25" s="164">
        <v>442481</v>
      </c>
      <c r="I25" s="164">
        <v>398996</v>
      </c>
      <c r="J25" s="197">
        <v>372518</v>
      </c>
      <c r="K25" s="197">
        <v>322830</v>
      </c>
      <c r="L25" s="199">
        <v>299343</v>
      </c>
      <c r="M25" s="199">
        <v>295404</v>
      </c>
      <c r="N25" s="300">
        <v>305349.28045000002</v>
      </c>
      <c r="O25" s="300">
        <v>280915.87378999998</v>
      </c>
      <c r="P25" s="300">
        <v>283552.73463999998</v>
      </c>
      <c r="Q25" s="302">
        <v>358570.40399000002</v>
      </c>
      <c r="R25" s="302">
        <v>364673.03512000002</v>
      </c>
      <c r="S25" s="300">
        <v>352883.73181999999</v>
      </c>
      <c r="T25" s="300">
        <v>346005.23060000001</v>
      </c>
      <c r="U25" s="300">
        <v>348662.54589999997</v>
      </c>
    </row>
    <row r="26" spans="1:21">
      <c r="A26" s="50">
        <v>205</v>
      </c>
      <c r="B26" s="52" t="s">
        <v>60</v>
      </c>
      <c r="C26" s="164">
        <v>36421</v>
      </c>
      <c r="D26" s="164">
        <v>25992</v>
      </c>
      <c r="E26" s="164">
        <v>24492</v>
      </c>
      <c r="F26" s="164">
        <v>26993</v>
      </c>
      <c r="G26" s="164">
        <v>25469</v>
      </c>
      <c r="H26" s="164">
        <v>25045</v>
      </c>
      <c r="I26" s="164">
        <v>22523</v>
      </c>
      <c r="J26" s="18">
        <v>26657</v>
      </c>
      <c r="K26" s="18">
        <v>27063</v>
      </c>
      <c r="L26" s="196">
        <v>31382</v>
      </c>
      <c r="M26" s="196">
        <v>33841</v>
      </c>
      <c r="N26" s="298">
        <v>28848.053599999999</v>
      </c>
      <c r="O26" s="298">
        <v>32127.207719999999</v>
      </c>
      <c r="P26" s="298">
        <v>38844.04808</v>
      </c>
      <c r="Q26" s="302">
        <v>35025.938730000002</v>
      </c>
      <c r="R26" s="302">
        <v>34665.653039999997</v>
      </c>
      <c r="S26" s="298">
        <v>34872.909800000001</v>
      </c>
      <c r="T26" s="298">
        <v>44193.198020000003</v>
      </c>
      <c r="U26" s="298">
        <v>47561.822469999999</v>
      </c>
    </row>
    <row r="27" spans="1:21">
      <c r="A27" s="35"/>
      <c r="B27" s="36"/>
      <c r="C27" s="30"/>
      <c r="D27" s="31"/>
      <c r="E27" s="30"/>
      <c r="F27" s="30"/>
      <c r="G27" s="150"/>
      <c r="H27" s="37"/>
      <c r="I27" s="156"/>
      <c r="J27" s="37"/>
      <c r="K27" s="37"/>
      <c r="L27" s="200"/>
      <c r="M27" s="200"/>
      <c r="N27" s="305"/>
      <c r="O27" s="305"/>
      <c r="P27" s="305"/>
      <c r="Q27" s="308"/>
      <c r="R27" s="308"/>
      <c r="S27" s="305"/>
      <c r="T27" s="305"/>
      <c r="U27" s="305"/>
    </row>
    <row r="28" spans="1:21">
      <c r="A28" s="11">
        <v>23</v>
      </c>
      <c r="B28" s="38" t="s">
        <v>48</v>
      </c>
      <c r="C28" s="13">
        <v>1593</v>
      </c>
      <c r="D28" s="13">
        <v>1738</v>
      </c>
      <c r="E28" s="13">
        <v>2263</v>
      </c>
      <c r="F28" s="13">
        <v>1849</v>
      </c>
      <c r="G28" s="13">
        <v>1851</v>
      </c>
      <c r="H28" s="13">
        <v>2276</v>
      </c>
      <c r="I28" s="13">
        <v>2538</v>
      </c>
      <c r="J28" s="13">
        <v>2544</v>
      </c>
      <c r="K28" s="13">
        <v>5830</v>
      </c>
      <c r="L28" s="198">
        <v>5478</v>
      </c>
      <c r="M28" s="198">
        <v>4508</v>
      </c>
      <c r="N28" s="313">
        <v>4513.8154100000002</v>
      </c>
      <c r="O28" s="313">
        <v>0</v>
      </c>
      <c r="P28" s="313"/>
      <c r="Q28" s="309"/>
      <c r="R28" s="309"/>
      <c r="S28" s="388"/>
      <c r="T28" s="388"/>
      <c r="U28" s="388"/>
    </row>
    <row r="29" spans="1:21">
      <c r="A29" s="53"/>
      <c r="B29" s="40"/>
      <c r="C29" s="16"/>
      <c r="D29" s="17"/>
      <c r="E29" s="16"/>
      <c r="F29" s="16"/>
      <c r="G29" s="148"/>
      <c r="H29" s="18"/>
      <c r="I29" s="18"/>
      <c r="J29" s="18"/>
      <c r="K29" s="18"/>
      <c r="L29" s="196"/>
      <c r="M29" s="196"/>
      <c r="N29" s="298"/>
      <c r="O29" s="298"/>
      <c r="P29" s="298"/>
      <c r="Q29" s="311"/>
      <c r="R29" s="311"/>
      <c r="S29" s="298"/>
      <c r="T29" s="298"/>
      <c r="U29" s="298"/>
    </row>
    <row r="30" spans="1:21">
      <c r="A30" s="11">
        <v>24</v>
      </c>
      <c r="B30" s="38" t="s">
        <v>49</v>
      </c>
      <c r="C30" s="13">
        <v>0</v>
      </c>
      <c r="D30" s="13">
        <v>0</v>
      </c>
      <c r="E30" s="13">
        <v>15000</v>
      </c>
      <c r="F30" s="13">
        <v>15000</v>
      </c>
      <c r="G30" s="13">
        <v>11250</v>
      </c>
      <c r="H30" s="13">
        <v>49972</v>
      </c>
      <c r="I30" s="13">
        <v>6602</v>
      </c>
      <c r="J30" s="13">
        <v>963</v>
      </c>
      <c r="K30" s="13">
        <v>5243</v>
      </c>
      <c r="L30" s="198">
        <v>8480</v>
      </c>
      <c r="M30" s="198">
        <v>8701</v>
      </c>
      <c r="N30" s="313">
        <v>8805.0262000000002</v>
      </c>
      <c r="O30" s="313">
        <v>9148.2361999999994</v>
      </c>
      <c r="P30" s="313">
        <v>49666.693200000002</v>
      </c>
      <c r="Q30" s="309">
        <v>3624.9441999999999</v>
      </c>
      <c r="R30" s="309">
        <v>3599.6622000000002</v>
      </c>
      <c r="S30" s="388">
        <v>3779.6916999999999</v>
      </c>
      <c r="T30" s="388">
        <v>44726.64443</v>
      </c>
      <c r="U30" s="388">
        <v>84611.372349999991</v>
      </c>
    </row>
    <row r="31" spans="1:21">
      <c r="A31" s="44"/>
      <c r="B31" s="45"/>
      <c r="C31" s="164"/>
      <c r="D31" s="17"/>
      <c r="E31" s="16"/>
      <c r="F31" s="16"/>
      <c r="G31" s="13"/>
      <c r="H31" s="18"/>
      <c r="I31" s="18"/>
      <c r="J31" s="18"/>
      <c r="K31" s="18"/>
      <c r="L31" s="196"/>
      <c r="M31" s="196"/>
      <c r="N31" s="298"/>
      <c r="O31" s="298"/>
      <c r="P31" s="298"/>
      <c r="Q31" s="311"/>
      <c r="R31" s="311"/>
      <c r="S31" s="298"/>
      <c r="T31" s="298"/>
      <c r="U31" s="298"/>
    </row>
    <row r="32" spans="1:21">
      <c r="A32" s="54">
        <v>28</v>
      </c>
      <c r="B32" s="47" t="s">
        <v>54</v>
      </c>
      <c r="C32" s="13">
        <v>13482</v>
      </c>
      <c r="D32" s="13">
        <v>14263</v>
      </c>
      <c r="E32" s="13">
        <v>15728</v>
      </c>
      <c r="F32" s="13">
        <v>15687</v>
      </c>
      <c r="G32" s="13">
        <v>15973</v>
      </c>
      <c r="H32" s="13">
        <v>18814</v>
      </c>
      <c r="I32" s="13">
        <v>22330</v>
      </c>
      <c r="J32" s="13">
        <v>24145</v>
      </c>
      <c r="K32" s="13">
        <v>25819</v>
      </c>
      <c r="L32" s="198">
        <v>22610</v>
      </c>
      <c r="M32" s="198">
        <v>21620</v>
      </c>
      <c r="N32" s="313">
        <v>21309.189200000001</v>
      </c>
      <c r="O32" s="313">
        <v>5403.4934599999997</v>
      </c>
      <c r="P32" s="313">
        <v>5433.4670100000003</v>
      </c>
      <c r="Q32" s="309">
        <v>6381.2511599999998</v>
      </c>
      <c r="R32" s="309">
        <v>8867.9346000000005</v>
      </c>
      <c r="S32" s="388">
        <v>9826.9120500000008</v>
      </c>
      <c r="T32" s="388">
        <v>10457.778480000001</v>
      </c>
      <c r="U32" s="388">
        <v>11246.344720000001</v>
      </c>
    </row>
    <row r="33" spans="1:21">
      <c r="A33" s="53"/>
      <c r="B33" s="40"/>
      <c r="C33" s="16"/>
      <c r="D33" s="17"/>
      <c r="E33" s="16"/>
      <c r="F33" s="16"/>
      <c r="G33" s="13"/>
      <c r="H33" s="18"/>
      <c r="I33" s="18"/>
      <c r="J33" s="18"/>
      <c r="K33" s="18"/>
      <c r="L33" s="196"/>
      <c r="M33" s="196"/>
      <c r="N33" s="298"/>
      <c r="O33" s="298"/>
      <c r="P33" s="298"/>
      <c r="Q33" s="311"/>
      <c r="R33" s="311"/>
      <c r="S33" s="298"/>
      <c r="T33" s="298"/>
      <c r="U33" s="298"/>
    </row>
    <row r="34" spans="1:21">
      <c r="A34" s="11">
        <v>29</v>
      </c>
      <c r="B34" s="38" t="s">
        <v>51</v>
      </c>
      <c r="C34" s="13">
        <v>0</v>
      </c>
      <c r="D34" s="13">
        <v>0</v>
      </c>
      <c r="E34" s="13">
        <v>0</v>
      </c>
      <c r="F34" s="13">
        <v>0</v>
      </c>
      <c r="G34" s="13">
        <v>11221</v>
      </c>
      <c r="H34" s="13">
        <v>220896</v>
      </c>
      <c r="I34" s="13">
        <v>202731</v>
      </c>
      <c r="J34" s="13">
        <v>202777</v>
      </c>
      <c r="K34" s="13">
        <v>205350</v>
      </c>
      <c r="L34" s="198">
        <v>207556</v>
      </c>
      <c r="M34" s="198">
        <v>207790</v>
      </c>
      <c r="N34" s="313">
        <v>208575.00472999999</v>
      </c>
      <c r="O34" s="313">
        <v>216354.03281</v>
      </c>
      <c r="P34" s="313">
        <v>166676.76850000001</v>
      </c>
      <c r="Q34" s="309">
        <v>176488.86692999999</v>
      </c>
      <c r="R34" s="309">
        <v>196240.29191999999</v>
      </c>
      <c r="S34" s="388">
        <v>188375.65435</v>
      </c>
      <c r="T34" s="388">
        <v>143035.27393</v>
      </c>
      <c r="U34" s="388">
        <v>99489.874799999991</v>
      </c>
    </row>
    <row r="35" spans="1:21">
      <c r="A35" s="41"/>
      <c r="B35" s="42"/>
      <c r="C35" s="56"/>
      <c r="D35" s="57"/>
      <c r="E35" s="56"/>
      <c r="F35" s="56"/>
      <c r="G35" s="56"/>
      <c r="H35" s="56"/>
      <c r="I35" s="56"/>
      <c r="J35" s="18"/>
      <c r="K35" s="18"/>
      <c r="L35" s="167"/>
      <c r="M35" s="167"/>
      <c r="N35" s="167"/>
      <c r="O35" s="167"/>
      <c r="P35" s="167"/>
      <c r="Q35" s="311"/>
      <c r="R35" s="311"/>
      <c r="S35" s="360"/>
      <c r="T35" s="360"/>
      <c r="U35" s="360"/>
    </row>
    <row r="36" spans="1:21">
      <c r="A36" s="170"/>
      <c r="B36" s="60"/>
      <c r="C36" s="171"/>
      <c r="D36" s="172"/>
      <c r="E36" s="171"/>
      <c r="F36" s="173"/>
      <c r="G36" s="174"/>
      <c r="H36" s="173"/>
      <c r="I36" s="173"/>
      <c r="J36" s="6"/>
      <c r="K36" s="6"/>
      <c r="L36" s="225"/>
      <c r="M36" s="225"/>
      <c r="N36" s="225"/>
      <c r="O36" s="225"/>
      <c r="P36" s="225"/>
      <c r="Q36" s="341"/>
      <c r="R36" s="341"/>
      <c r="S36" s="362"/>
      <c r="T36" s="362"/>
      <c r="U36" s="362"/>
    </row>
    <row r="37" spans="1:21">
      <c r="C37" s="157"/>
      <c r="D37" s="157"/>
      <c r="E37" s="157"/>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rgb="FF00B050"/>
  </sheetPr>
  <dimension ref="A1:U44"/>
  <sheetViews>
    <sheetView view="pageLayout" zoomScaleNormal="100" workbookViewId="0">
      <selection activeCell="T81" sqref="T81"/>
    </sheetView>
  </sheetViews>
  <sheetFormatPr baseColWidth="10" defaultColWidth="11.42578125" defaultRowHeight="12.75"/>
  <cols>
    <col min="1" max="1" width="8.42578125" style="75" customWidth="1"/>
    <col min="2" max="2" width="50.85546875" style="75" customWidth="1"/>
    <col min="3" max="7" width="10.7109375" style="2" bestFit="1" customWidth="1"/>
    <col min="8" max="8" width="10.7109375" style="77"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210">
        <v>2007</v>
      </c>
      <c r="K1" s="210">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69</v>
      </c>
      <c r="C2" s="79"/>
      <c r="D2" s="79"/>
      <c r="E2" s="79"/>
      <c r="F2" s="79"/>
      <c r="G2" s="79"/>
      <c r="H2" s="79"/>
      <c r="I2" s="79"/>
      <c r="J2" s="356"/>
      <c r="K2" s="356"/>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212" t="s">
        <v>4</v>
      </c>
      <c r="K3" s="212"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O4" si="0">C6+C11+C16+C18</f>
        <v>3525264.3319999999</v>
      </c>
      <c r="D4" s="87">
        <f t="shared" si="0"/>
        <v>3314202.1310000001</v>
      </c>
      <c r="E4" s="87">
        <f t="shared" si="0"/>
        <v>3082948.503</v>
      </c>
      <c r="F4" s="87">
        <f t="shared" si="0"/>
        <v>3114249.3364499998</v>
      </c>
      <c r="G4" s="87">
        <f t="shared" si="0"/>
        <v>3061010.74945</v>
      </c>
      <c r="H4" s="87">
        <f t="shared" si="0"/>
        <v>3255704.5260000001</v>
      </c>
      <c r="I4" s="13">
        <f t="shared" si="0"/>
        <v>2289396.0597000001</v>
      </c>
      <c r="J4" s="198">
        <f t="shared" si="0"/>
        <v>2413007.1100000003</v>
      </c>
      <c r="K4" s="198">
        <f t="shared" si="0"/>
        <v>2240673.5989999999</v>
      </c>
      <c r="L4" s="198">
        <f t="shared" si="0"/>
        <v>2210645.19019</v>
      </c>
      <c r="M4" s="198">
        <f t="shared" si="0"/>
        <v>2259558</v>
      </c>
      <c r="N4" s="198">
        <f t="shared" si="0"/>
        <v>2904790.84118</v>
      </c>
      <c r="O4" s="198">
        <f t="shared" si="0"/>
        <v>5686330.4137500003</v>
      </c>
      <c r="P4" s="198">
        <f t="shared" ref="P4:Q4" si="1">P6+P11+P16+P18</f>
        <v>6218836.39212</v>
      </c>
      <c r="Q4" s="13">
        <f t="shared" si="1"/>
        <v>6197833.8460600004</v>
      </c>
      <c r="R4" s="13">
        <f t="shared" ref="R4" si="2">R6+R11+R16+R18</f>
        <v>6172191.014459</v>
      </c>
      <c r="S4" s="348">
        <f t="shared" ref="S4:T4" si="3">S6+S11+S16+S18</f>
        <v>6184584.9967</v>
      </c>
      <c r="T4" s="348">
        <f t="shared" si="3"/>
        <v>6217508.8279999997</v>
      </c>
      <c r="U4" s="348">
        <f t="shared" ref="U4" si="4">U6+U11+U16+U18</f>
        <v>6444042.858</v>
      </c>
    </row>
    <row r="5" spans="1:21">
      <c r="A5" s="14"/>
      <c r="B5" s="15"/>
      <c r="C5" s="16"/>
      <c r="D5" s="17"/>
      <c r="E5" s="16"/>
      <c r="F5" s="16"/>
      <c r="G5" s="149"/>
      <c r="H5" s="18"/>
      <c r="I5" s="18"/>
      <c r="J5" s="213"/>
      <c r="K5" s="213"/>
      <c r="L5" s="196"/>
      <c r="M5" s="196"/>
      <c r="N5" s="196"/>
      <c r="O5" s="196"/>
      <c r="P5" s="196"/>
      <c r="Q5" s="18"/>
      <c r="R5" s="18"/>
      <c r="S5" s="298"/>
      <c r="T5" s="298"/>
      <c r="U5" s="298"/>
    </row>
    <row r="6" spans="1:21">
      <c r="A6" s="19">
        <v>10</v>
      </c>
      <c r="B6" s="12" t="s">
        <v>6</v>
      </c>
      <c r="C6" s="13">
        <f t="shared" ref="C6:L6" si="5">C7+C8+C9</f>
        <v>1744578.3319999999</v>
      </c>
      <c r="D6" s="13">
        <f t="shared" si="5"/>
        <v>1806546.1310000001</v>
      </c>
      <c r="E6" s="13">
        <f t="shared" si="5"/>
        <v>1670587.503</v>
      </c>
      <c r="F6" s="13">
        <f t="shared" si="5"/>
        <v>1648132.3364499998</v>
      </c>
      <c r="G6" s="13">
        <f t="shared" si="5"/>
        <v>1603899.74945</v>
      </c>
      <c r="H6" s="13">
        <f t="shared" si="5"/>
        <v>1792543.5260000001</v>
      </c>
      <c r="I6" s="13">
        <f t="shared" si="5"/>
        <v>1102700.1979999999</v>
      </c>
      <c r="J6" s="198">
        <f t="shared" si="5"/>
        <v>1202804.2645</v>
      </c>
      <c r="K6" s="198">
        <f t="shared" si="5"/>
        <v>1044639.599</v>
      </c>
      <c r="L6" s="198">
        <f t="shared" si="5"/>
        <v>931156.63095999998</v>
      </c>
      <c r="M6" s="198">
        <f t="shared" ref="M6:R6" si="6">M7+M8+M9</f>
        <v>929579</v>
      </c>
      <c r="N6" s="198">
        <f t="shared" si="6"/>
        <v>1549688.6085300001</v>
      </c>
      <c r="O6" s="198">
        <f t="shared" si="6"/>
        <v>1465421.1687400001</v>
      </c>
      <c r="P6" s="198">
        <f t="shared" si="6"/>
        <v>1515506.9615099998</v>
      </c>
      <c r="Q6" s="13">
        <f t="shared" si="6"/>
        <v>1501780.5992800002</v>
      </c>
      <c r="R6" s="13">
        <f t="shared" si="6"/>
        <v>1471039.3785389999</v>
      </c>
      <c r="S6" s="348">
        <f t="shared" ref="S6:T6" si="7">S7+S8+S9</f>
        <v>1463538.4930000002</v>
      </c>
      <c r="T6" s="348">
        <f t="shared" si="7"/>
        <v>1552451.0129999998</v>
      </c>
      <c r="U6" s="348">
        <f t="shared" ref="U6" si="8">U7+U8+U9</f>
        <v>1819615.3189999999</v>
      </c>
    </row>
    <row r="7" spans="1:21">
      <c r="A7" s="20" t="s">
        <v>7</v>
      </c>
      <c r="B7" s="266" t="s">
        <v>90</v>
      </c>
      <c r="C7" s="164">
        <f>864971+C40</f>
        <v>1606987.3319999999</v>
      </c>
      <c r="D7" s="164">
        <f>26233+799062+D40</f>
        <v>1567023.1310000001</v>
      </c>
      <c r="E7" s="164">
        <f>41303+627248+E40</f>
        <v>1370003.503</v>
      </c>
      <c r="F7" s="164">
        <f>628339+F40</f>
        <v>1309755.3364499998</v>
      </c>
      <c r="G7" s="164">
        <f>603555+G40</f>
        <v>1260512.74945</v>
      </c>
      <c r="H7" s="164">
        <f>851498+H40</f>
        <v>1488277.5260000001</v>
      </c>
      <c r="I7" s="164">
        <f>660255+I40</f>
        <v>758270.19799999997</v>
      </c>
      <c r="J7" s="196">
        <f>761695+J40</f>
        <v>853790.53799999994</v>
      </c>
      <c r="K7" s="196">
        <f>698439+K40</f>
        <v>775157.59900000005</v>
      </c>
      <c r="L7" s="196">
        <f>641617.85954+L40</f>
        <v>692376.34354000003</v>
      </c>
      <c r="M7" s="196">
        <v>647923</v>
      </c>
      <c r="N7" s="298">
        <v>1252114.66289</v>
      </c>
      <c r="O7" s="298">
        <v>551224.98372999998</v>
      </c>
      <c r="P7" s="298">
        <v>580218.67914000002</v>
      </c>
      <c r="Q7" s="302">
        <v>564995.08276999998</v>
      </c>
      <c r="R7" s="302">
        <v>540081.52528000006</v>
      </c>
      <c r="S7" s="298">
        <v>418309.53200000001</v>
      </c>
      <c r="T7" s="298">
        <v>416897.609</v>
      </c>
      <c r="U7" s="298">
        <v>407977.12400000001</v>
      </c>
    </row>
    <row r="8" spans="1:21">
      <c r="A8" s="25">
        <v>102</v>
      </c>
      <c r="B8" s="26" t="s">
        <v>9</v>
      </c>
      <c r="C8" s="164">
        <v>104440</v>
      </c>
      <c r="D8" s="164">
        <v>199860</v>
      </c>
      <c r="E8" s="164">
        <v>200661</v>
      </c>
      <c r="F8" s="164">
        <v>189108</v>
      </c>
      <c r="G8" s="164">
        <v>193478</v>
      </c>
      <c r="H8" s="164">
        <v>181171</v>
      </c>
      <c r="I8" s="164">
        <v>178650</v>
      </c>
      <c r="J8" s="199">
        <v>174017.72649999999</v>
      </c>
      <c r="K8" s="199">
        <v>157276</v>
      </c>
      <c r="L8" s="199">
        <v>157391.85295</v>
      </c>
      <c r="M8" s="199">
        <v>156182</v>
      </c>
      <c r="N8" s="300">
        <v>157133.31880000001</v>
      </c>
      <c r="O8" s="300">
        <v>645652.05920000002</v>
      </c>
      <c r="P8" s="300">
        <v>622991.85239999997</v>
      </c>
      <c r="Q8" s="302">
        <v>586446.05197000003</v>
      </c>
      <c r="R8" s="302">
        <v>628423.53039900004</v>
      </c>
      <c r="S8" s="300">
        <v>638177.94900000002</v>
      </c>
      <c r="T8" s="300">
        <v>701345.95600000001</v>
      </c>
      <c r="U8" s="300">
        <v>736202.93799999997</v>
      </c>
    </row>
    <row r="9" spans="1:21">
      <c r="A9" s="25">
        <v>103</v>
      </c>
      <c r="B9" s="26" t="s">
        <v>10</v>
      </c>
      <c r="C9" s="164">
        <v>33151</v>
      </c>
      <c r="D9" s="164">
        <v>39663</v>
      </c>
      <c r="E9" s="164">
        <v>99923</v>
      </c>
      <c r="F9" s="164">
        <v>149269</v>
      </c>
      <c r="G9" s="164">
        <v>149909</v>
      </c>
      <c r="H9" s="164">
        <v>123095</v>
      </c>
      <c r="I9" s="164">
        <v>165780</v>
      </c>
      <c r="J9" s="196">
        <v>174996</v>
      </c>
      <c r="K9" s="196">
        <v>112206</v>
      </c>
      <c r="L9" s="196">
        <v>81388.434469999993</v>
      </c>
      <c r="M9" s="196">
        <v>125474</v>
      </c>
      <c r="N9" s="298">
        <v>140440.62684000001</v>
      </c>
      <c r="O9" s="298">
        <v>268544.12581</v>
      </c>
      <c r="P9" s="298">
        <v>312296.42997</v>
      </c>
      <c r="Q9" s="302">
        <v>350339.46454000002</v>
      </c>
      <c r="R9" s="302">
        <v>302534.32286000001</v>
      </c>
      <c r="S9" s="298">
        <v>407051.01199999999</v>
      </c>
      <c r="T9" s="298">
        <v>434207.44799999997</v>
      </c>
      <c r="U9" s="298">
        <v>675435.25699999998</v>
      </c>
    </row>
    <row r="10" spans="1:21">
      <c r="A10" s="28"/>
      <c r="B10" s="29"/>
      <c r="C10" s="30"/>
      <c r="D10" s="31"/>
      <c r="E10" s="30"/>
      <c r="F10" s="30"/>
      <c r="G10" s="149"/>
      <c r="H10" s="18"/>
      <c r="I10" s="18"/>
      <c r="J10" s="196"/>
      <c r="K10" s="196"/>
      <c r="L10" s="196"/>
      <c r="M10" s="196"/>
      <c r="N10" s="196"/>
      <c r="O10" s="196"/>
      <c r="P10" s="196"/>
      <c r="Q10" s="18"/>
      <c r="R10" s="18"/>
      <c r="S10" s="298"/>
      <c r="T10" s="298"/>
      <c r="U10" s="298"/>
    </row>
    <row r="11" spans="1:21">
      <c r="A11" s="19">
        <v>11</v>
      </c>
      <c r="B11" s="12" t="s">
        <v>11</v>
      </c>
      <c r="C11" s="13">
        <f t="shared" ref="C11:L11" si="9">C12+C13+C14</f>
        <v>1702881</v>
      </c>
      <c r="D11" s="13">
        <f t="shared" si="9"/>
        <v>1421572</v>
      </c>
      <c r="E11" s="13">
        <f t="shared" si="9"/>
        <v>1324008</v>
      </c>
      <c r="F11" s="13">
        <f t="shared" si="9"/>
        <v>1374536</v>
      </c>
      <c r="G11" s="13">
        <f t="shared" si="9"/>
        <v>1367541</v>
      </c>
      <c r="H11" s="13">
        <f t="shared" si="9"/>
        <v>1381085</v>
      </c>
      <c r="I11" s="13">
        <f t="shared" si="9"/>
        <v>1114760</v>
      </c>
      <c r="J11" s="198">
        <f t="shared" si="9"/>
        <v>1142719.4547600001</v>
      </c>
      <c r="K11" s="198">
        <f t="shared" si="9"/>
        <v>1190816</v>
      </c>
      <c r="L11" s="198">
        <f t="shared" si="9"/>
        <v>1279488.55923</v>
      </c>
      <c r="M11" s="198">
        <f>M12+M13+M14</f>
        <v>1330037</v>
      </c>
      <c r="N11" s="198">
        <f>N12+N13+N14</f>
        <v>1355102.2326499999</v>
      </c>
      <c r="O11" s="198">
        <f>O12+O13+O14</f>
        <v>4220909.2450099997</v>
      </c>
      <c r="P11" s="198">
        <f>P12+P13+P14</f>
        <v>4703329.4306100002</v>
      </c>
      <c r="Q11" s="13">
        <f t="shared" ref="Q11" si="10">Q12+Q13+Q14</f>
        <v>4696053.2467799997</v>
      </c>
      <c r="R11" s="13">
        <f t="shared" ref="R11" si="11">R12+R13+R14</f>
        <v>4701151.6359200003</v>
      </c>
      <c r="S11" s="348">
        <f t="shared" ref="S11:T11" si="12">S12+S13+S14</f>
        <v>4721046.5036999993</v>
      </c>
      <c r="T11" s="348">
        <f t="shared" si="12"/>
        <v>4665057.8150000004</v>
      </c>
      <c r="U11" s="348">
        <f t="shared" ref="U11" si="13">U12+U13+U14</f>
        <v>4624427.5389999999</v>
      </c>
    </row>
    <row r="12" spans="1:21">
      <c r="A12" s="32">
        <v>114</v>
      </c>
      <c r="B12" s="21" t="s">
        <v>12</v>
      </c>
      <c r="C12" s="164">
        <v>763724</v>
      </c>
      <c r="D12" s="164">
        <v>737479</v>
      </c>
      <c r="E12" s="164">
        <v>745986</v>
      </c>
      <c r="F12" s="164">
        <v>798048</v>
      </c>
      <c r="G12" s="164">
        <v>785631</v>
      </c>
      <c r="H12" s="164">
        <v>809308</v>
      </c>
      <c r="I12" s="164">
        <v>845576</v>
      </c>
      <c r="J12" s="196">
        <v>900143.42765000009</v>
      </c>
      <c r="K12" s="196">
        <v>862500</v>
      </c>
      <c r="L12" s="196">
        <v>906343.69527000003</v>
      </c>
      <c r="M12" s="196">
        <v>964540</v>
      </c>
      <c r="N12" s="298">
        <v>709596.60453999997</v>
      </c>
      <c r="O12" s="298">
        <v>2764065.3580499999</v>
      </c>
      <c r="P12" s="298">
        <v>3251626.56635</v>
      </c>
      <c r="Q12" s="302">
        <v>3249570.9060399998</v>
      </c>
      <c r="R12" s="302">
        <v>3260767.0920699998</v>
      </c>
      <c r="S12" s="298">
        <v>3280610.2316999999</v>
      </c>
      <c r="T12" s="298">
        <v>3249420.7490000003</v>
      </c>
      <c r="U12" s="298">
        <v>3224564.327</v>
      </c>
    </row>
    <row r="13" spans="1:21">
      <c r="A13" s="25">
        <v>115</v>
      </c>
      <c r="B13" s="26" t="s">
        <v>13</v>
      </c>
      <c r="C13" s="164">
        <v>613556</v>
      </c>
      <c r="D13" s="164">
        <v>383706</v>
      </c>
      <c r="E13" s="164">
        <v>347472</v>
      </c>
      <c r="F13" s="164">
        <v>348120</v>
      </c>
      <c r="G13" s="164">
        <v>348483</v>
      </c>
      <c r="H13" s="164">
        <v>348687</v>
      </c>
      <c r="I13" s="164">
        <v>346082</v>
      </c>
      <c r="J13" s="199">
        <v>343544.36296000006</v>
      </c>
      <c r="K13" s="199">
        <v>458297</v>
      </c>
      <c r="L13" s="199">
        <v>457184.42716000002</v>
      </c>
      <c r="M13" s="199">
        <v>461149</v>
      </c>
      <c r="N13" s="300">
        <v>752127.01951000001</v>
      </c>
      <c r="O13" s="300">
        <v>1014343.9280300001</v>
      </c>
      <c r="P13" s="300">
        <v>1013371.7585999999</v>
      </c>
      <c r="Q13" s="302">
        <v>1014587.0101000001</v>
      </c>
      <c r="R13" s="302">
        <v>1015008.9184999999</v>
      </c>
      <c r="S13" s="300">
        <v>1017181.843</v>
      </c>
      <c r="T13" s="300">
        <v>1008224.24</v>
      </c>
      <c r="U13" s="300">
        <v>1007336.031</v>
      </c>
    </row>
    <row r="14" spans="1:21" ht="25.5">
      <c r="A14" s="267" t="s">
        <v>14</v>
      </c>
      <c r="B14" s="268" t="s">
        <v>96</v>
      </c>
      <c r="C14" s="269">
        <v>325601</v>
      </c>
      <c r="D14" s="269">
        <f>300387</f>
        <v>300387</v>
      </c>
      <c r="E14" s="269">
        <v>230550</v>
      </c>
      <c r="F14" s="269">
        <v>228368</v>
      </c>
      <c r="G14" s="269">
        <v>233427</v>
      </c>
      <c r="H14" s="269">
        <v>223090</v>
      </c>
      <c r="I14" s="270">
        <v>-76898</v>
      </c>
      <c r="J14" s="271">
        <v>-100968.33584999999</v>
      </c>
      <c r="K14" s="271">
        <v>-129981</v>
      </c>
      <c r="L14" s="271">
        <v>-84039.563200000004</v>
      </c>
      <c r="M14" s="271">
        <v>-95652</v>
      </c>
      <c r="N14" s="307">
        <v>-106621.39139999999</v>
      </c>
      <c r="O14" s="307">
        <v>442499.95893000002</v>
      </c>
      <c r="P14" s="307">
        <v>438331.10566</v>
      </c>
      <c r="Q14" s="302">
        <v>431895.33064</v>
      </c>
      <c r="R14" s="302">
        <v>425375.62534999999</v>
      </c>
      <c r="S14" s="298">
        <v>423254.429</v>
      </c>
      <c r="T14" s="298">
        <v>407412.826</v>
      </c>
      <c r="U14" s="298">
        <v>392527.18099999998</v>
      </c>
    </row>
    <row r="15" spans="1:21">
      <c r="A15" s="35"/>
      <c r="B15" s="36"/>
      <c r="C15" s="30"/>
      <c r="D15" s="31"/>
      <c r="E15" s="30"/>
      <c r="F15" s="30"/>
      <c r="G15" s="149"/>
      <c r="H15" s="37"/>
      <c r="I15" s="156"/>
      <c r="J15" s="200"/>
      <c r="K15" s="200"/>
      <c r="L15" s="200"/>
      <c r="M15" s="200"/>
      <c r="N15" s="305"/>
      <c r="O15" s="305"/>
      <c r="P15" s="305"/>
      <c r="Q15" s="308"/>
      <c r="R15" s="308"/>
      <c r="S15" s="305"/>
      <c r="T15" s="305"/>
      <c r="U15" s="305"/>
    </row>
    <row r="16" spans="1:21">
      <c r="A16" s="11">
        <v>12</v>
      </c>
      <c r="B16" s="38" t="s">
        <v>16</v>
      </c>
      <c r="C16" s="13">
        <v>77805</v>
      </c>
      <c r="D16" s="13">
        <v>86084</v>
      </c>
      <c r="E16" s="13">
        <v>88353</v>
      </c>
      <c r="F16" s="13">
        <v>91581</v>
      </c>
      <c r="G16" s="13">
        <v>89570</v>
      </c>
      <c r="H16" s="13">
        <v>82076</v>
      </c>
      <c r="I16" s="13">
        <v>71935.861700000009</v>
      </c>
      <c r="J16" s="198">
        <v>67483.390739999988</v>
      </c>
      <c r="K16" s="198">
        <v>5218</v>
      </c>
      <c r="L16" s="198">
        <v>0</v>
      </c>
      <c r="M16" s="293">
        <v>-58</v>
      </c>
      <c r="N16" s="315">
        <v>0</v>
      </c>
      <c r="O16" s="315">
        <v>0</v>
      </c>
      <c r="P16" s="315">
        <v>0</v>
      </c>
      <c r="Q16" s="309">
        <v>0</v>
      </c>
      <c r="R16" s="309">
        <v>0</v>
      </c>
      <c r="S16" s="388">
        <v>0</v>
      </c>
      <c r="T16" s="388">
        <v>0</v>
      </c>
      <c r="U16" s="388">
        <v>0</v>
      </c>
    </row>
    <row r="17" spans="1:21">
      <c r="A17" s="39"/>
      <c r="B17" s="40"/>
      <c r="C17" s="16"/>
      <c r="D17" s="17"/>
      <c r="E17" s="16"/>
      <c r="F17" s="16"/>
      <c r="G17" s="91"/>
      <c r="H17" s="18"/>
      <c r="I17" s="18"/>
      <c r="J17" s="196"/>
      <c r="K17" s="196"/>
      <c r="L17" s="196"/>
      <c r="M17" s="196"/>
      <c r="N17" s="298"/>
      <c r="O17" s="298"/>
      <c r="P17" s="298"/>
      <c r="Q17" s="311"/>
      <c r="R17" s="311"/>
      <c r="S17" s="298"/>
      <c r="T17" s="298"/>
      <c r="U17" s="298"/>
    </row>
    <row r="18" spans="1:21">
      <c r="A18" s="11">
        <v>13</v>
      </c>
      <c r="B18" s="38" t="s">
        <v>97</v>
      </c>
      <c r="C18" s="272">
        <v>0</v>
      </c>
      <c r="D18" s="272">
        <v>0</v>
      </c>
      <c r="E18" s="272">
        <v>0</v>
      </c>
      <c r="F18" s="272">
        <v>0</v>
      </c>
      <c r="G18" s="272">
        <v>0</v>
      </c>
      <c r="H18" s="272">
        <v>0</v>
      </c>
      <c r="I18" s="272">
        <v>0</v>
      </c>
      <c r="J18" s="273">
        <v>0</v>
      </c>
      <c r="K18" s="273">
        <v>0</v>
      </c>
      <c r="L18" s="274">
        <v>0</v>
      </c>
      <c r="M18" s="274">
        <v>0</v>
      </c>
      <c r="N18" s="316">
        <v>0</v>
      </c>
      <c r="O18" s="316">
        <v>0</v>
      </c>
      <c r="P18" s="316">
        <v>0</v>
      </c>
      <c r="Q18" s="309">
        <v>0</v>
      </c>
      <c r="R18" s="309">
        <v>0</v>
      </c>
      <c r="S18" s="388">
        <v>0</v>
      </c>
      <c r="T18" s="388">
        <v>0</v>
      </c>
      <c r="U18" s="388">
        <v>0</v>
      </c>
    </row>
    <row r="19" spans="1:21">
      <c r="A19" s="41"/>
      <c r="B19" s="42"/>
      <c r="C19" s="22"/>
      <c r="D19" s="23"/>
      <c r="E19" s="22"/>
      <c r="F19" s="22"/>
      <c r="G19" s="56"/>
      <c r="H19" s="18"/>
      <c r="I19" s="18"/>
      <c r="J19" s="196"/>
      <c r="K19" s="196"/>
      <c r="L19" s="196"/>
      <c r="M19" s="196"/>
      <c r="N19" s="298"/>
      <c r="O19" s="298"/>
      <c r="P19" s="298"/>
      <c r="Q19" s="311"/>
      <c r="R19" s="311"/>
      <c r="S19" s="298"/>
      <c r="T19" s="298"/>
      <c r="U19" s="298"/>
    </row>
    <row r="20" spans="1:21">
      <c r="A20" s="43"/>
      <c r="B20" s="36"/>
      <c r="C20" s="30"/>
      <c r="D20" s="31"/>
      <c r="E20" s="30"/>
      <c r="F20" s="30"/>
      <c r="G20" s="150"/>
      <c r="H20" s="37"/>
      <c r="I20" s="156"/>
      <c r="J20" s="200"/>
      <c r="K20" s="200"/>
      <c r="L20" s="200"/>
      <c r="M20" s="200"/>
      <c r="N20" s="305"/>
      <c r="O20" s="305"/>
      <c r="P20" s="305"/>
      <c r="Q20" s="308"/>
      <c r="R20" s="308"/>
      <c r="S20" s="305"/>
      <c r="T20" s="305"/>
      <c r="U20" s="305"/>
    </row>
    <row r="21" spans="1:21">
      <c r="A21" s="11">
        <v>2</v>
      </c>
      <c r="B21" s="38" t="s">
        <v>18</v>
      </c>
      <c r="C21" s="13">
        <f t="shared" ref="C21:L21" si="14">C23+C28+C30+C32+C34</f>
        <v>3525264.3319999999</v>
      </c>
      <c r="D21" s="13">
        <f t="shared" si="14"/>
        <v>3314202</v>
      </c>
      <c r="E21" s="13">
        <f t="shared" si="14"/>
        <v>3082948</v>
      </c>
      <c r="F21" s="13">
        <f t="shared" si="14"/>
        <v>3114249</v>
      </c>
      <c r="G21" s="13">
        <f t="shared" si="14"/>
        <v>3061011</v>
      </c>
      <c r="H21" s="13">
        <f t="shared" si="14"/>
        <v>3255705</v>
      </c>
      <c r="I21" s="13">
        <f t="shared" si="14"/>
        <v>2289396</v>
      </c>
      <c r="J21" s="215">
        <f t="shared" si="14"/>
        <v>2413007.90741</v>
      </c>
      <c r="K21" s="215">
        <f t="shared" si="14"/>
        <v>2240674</v>
      </c>
      <c r="L21" s="198">
        <f t="shared" si="14"/>
        <v>2210645.1901900005</v>
      </c>
      <c r="M21" s="198">
        <f>M23+M28+M30+M32+M34</f>
        <v>2259558</v>
      </c>
      <c r="N21" s="198">
        <f>N23+N28+N30+N32+N34</f>
        <v>2242814.72064</v>
      </c>
      <c r="O21" s="198">
        <f>O23+O28+O30+O32+O34</f>
        <v>5686330.4137500003</v>
      </c>
      <c r="P21" s="198">
        <f>P23+P28+P30+P32+P34</f>
        <v>6218836.39212</v>
      </c>
      <c r="Q21" s="13">
        <f t="shared" ref="Q21:R21" si="15">Q23+Q28+Q30+Q32+Q34</f>
        <v>6197833.8460600004</v>
      </c>
      <c r="R21" s="13">
        <f t="shared" si="15"/>
        <v>6172191.0101600001</v>
      </c>
      <c r="S21" s="348">
        <f t="shared" ref="S21:T21" si="16">S23+S28+S30+S32+S34</f>
        <v>6184584.9979999997</v>
      </c>
      <c r="T21" s="348">
        <f t="shared" si="16"/>
        <v>6217508.8300000001</v>
      </c>
      <c r="U21" s="348">
        <f t="shared" ref="U21" si="17">U23+U28+U30+U32+U34</f>
        <v>6444042.8589999992</v>
      </c>
    </row>
    <row r="22" spans="1:21">
      <c r="A22" s="44"/>
      <c r="B22" s="45"/>
      <c r="C22" s="16"/>
      <c r="D22" s="17"/>
      <c r="E22" s="16"/>
      <c r="F22" s="16"/>
      <c r="G22" s="56"/>
      <c r="H22" s="18"/>
      <c r="I22" s="18"/>
      <c r="J22" s="213"/>
      <c r="K22" s="213"/>
      <c r="L22" s="196"/>
      <c r="M22" s="196"/>
      <c r="N22" s="196"/>
      <c r="O22" s="196"/>
      <c r="P22" s="196"/>
      <c r="Q22" s="18"/>
      <c r="R22" s="18"/>
      <c r="S22" s="298"/>
      <c r="T22" s="298"/>
      <c r="U22" s="298"/>
    </row>
    <row r="23" spans="1:21">
      <c r="A23" s="46">
        <v>20</v>
      </c>
      <c r="B23" s="47" t="s">
        <v>19</v>
      </c>
      <c r="C23" s="13">
        <f t="shared" ref="C23:L23" si="18">C24+C25+C26</f>
        <v>2704237</v>
      </c>
      <c r="D23" s="13">
        <f t="shared" si="18"/>
        <v>2417461</v>
      </c>
      <c r="E23" s="13">
        <f t="shared" si="18"/>
        <v>2250688</v>
      </c>
      <c r="F23" s="13">
        <f t="shared" si="18"/>
        <v>2286685</v>
      </c>
      <c r="G23" s="13">
        <f t="shared" si="18"/>
        <v>2217928</v>
      </c>
      <c r="H23" s="13">
        <f t="shared" si="18"/>
        <v>1732047</v>
      </c>
      <c r="I23" s="13">
        <f t="shared" si="18"/>
        <v>1547273</v>
      </c>
      <c r="J23" s="198">
        <f t="shared" si="18"/>
        <v>1478417.6406</v>
      </c>
      <c r="K23" s="198">
        <f t="shared" si="18"/>
        <v>1281371</v>
      </c>
      <c r="L23" s="198">
        <f t="shared" si="18"/>
        <v>1148034.3141000001</v>
      </c>
      <c r="M23" s="198">
        <f>M24+M25+M26</f>
        <v>1170318</v>
      </c>
      <c r="N23" s="198">
        <f>N24+N25+N26</f>
        <v>1130830.8010800001</v>
      </c>
      <c r="O23" s="198">
        <f>O24+O25+O26</f>
        <v>1723672.6404800001</v>
      </c>
      <c r="P23" s="198">
        <f>P24+P25+P26</f>
        <v>2283970.5143800001</v>
      </c>
      <c r="Q23" s="13">
        <f t="shared" ref="Q23:R23" si="19">Q24+Q25+Q26</f>
        <v>2288975.2297200002</v>
      </c>
      <c r="R23" s="13">
        <f t="shared" si="19"/>
        <v>2195076.7520599999</v>
      </c>
      <c r="S23" s="348">
        <f t="shared" ref="S23:T23" si="20">S24+S25+S26</f>
        <v>2257756.7110000001</v>
      </c>
      <c r="T23" s="348">
        <f t="shared" si="20"/>
        <v>2260219.3649999998</v>
      </c>
      <c r="U23" s="348">
        <f t="shared" ref="U23" si="21">U24+U25+U26</f>
        <v>2392107.0709999995</v>
      </c>
    </row>
    <row r="24" spans="1:21">
      <c r="A24" s="48" t="s">
        <v>20</v>
      </c>
      <c r="B24" s="49" t="s">
        <v>21</v>
      </c>
      <c r="C24" s="164">
        <v>525190</v>
      </c>
      <c r="D24" s="164">
        <f>244681+179045</f>
        <v>423726</v>
      </c>
      <c r="E24" s="164">
        <f>134042+241120</f>
        <v>375162</v>
      </c>
      <c r="F24" s="164">
        <v>371094</v>
      </c>
      <c r="G24" s="164">
        <v>394285</v>
      </c>
      <c r="H24" s="164">
        <v>178767</v>
      </c>
      <c r="I24" s="164">
        <v>219887</v>
      </c>
      <c r="J24" s="196">
        <v>344333.35492000001</v>
      </c>
      <c r="K24" s="196">
        <v>364713</v>
      </c>
      <c r="L24" s="196">
        <v>346372.93770000007</v>
      </c>
      <c r="M24" s="196">
        <v>422360</v>
      </c>
      <c r="N24" s="298">
        <v>356382.31954</v>
      </c>
      <c r="O24" s="298">
        <v>411127.99292999995</v>
      </c>
      <c r="P24" s="298">
        <v>511878.20033000002</v>
      </c>
      <c r="Q24" s="302">
        <v>497389.68579000002</v>
      </c>
      <c r="R24" s="302">
        <v>417953.33646999998</v>
      </c>
      <c r="S24" s="298">
        <v>564743.71100000001</v>
      </c>
      <c r="T24" s="298">
        <v>463566.71299999999</v>
      </c>
      <c r="U24" s="298">
        <v>531207.24099999992</v>
      </c>
    </row>
    <row r="25" spans="1:21">
      <c r="A25" s="50">
        <v>202</v>
      </c>
      <c r="B25" s="51" t="s">
        <v>22</v>
      </c>
      <c r="C25" s="164">
        <v>2018662</v>
      </c>
      <c r="D25" s="164">
        <v>1853475</v>
      </c>
      <c r="E25" s="164">
        <v>1711295</v>
      </c>
      <c r="F25" s="164">
        <f>1702087+1</f>
        <v>1702088</v>
      </c>
      <c r="G25" s="164">
        <f>1662128+1</f>
        <v>1662129</v>
      </c>
      <c r="H25" s="164">
        <f>1392704-1</f>
        <v>1392703</v>
      </c>
      <c r="I25" s="164">
        <v>1158132</v>
      </c>
      <c r="J25" s="199">
        <v>951730</v>
      </c>
      <c r="K25" s="199">
        <v>695900</v>
      </c>
      <c r="L25" s="199">
        <v>586800</v>
      </c>
      <c r="M25" s="199">
        <v>520200</v>
      </c>
      <c r="N25" s="300">
        <v>521070</v>
      </c>
      <c r="O25" s="300">
        <v>989346.43636999989</v>
      </c>
      <c r="P25" s="300">
        <v>1506972.80263</v>
      </c>
      <c r="Q25" s="302">
        <v>1547210.8079200001</v>
      </c>
      <c r="R25" s="302">
        <v>1533734.2424099999</v>
      </c>
      <c r="S25" s="300">
        <v>1530230.226</v>
      </c>
      <c r="T25" s="300">
        <v>1625455.1769999999</v>
      </c>
      <c r="U25" s="300">
        <v>1673780.348</v>
      </c>
    </row>
    <row r="26" spans="1:21">
      <c r="A26" s="50">
        <v>205</v>
      </c>
      <c r="B26" s="52" t="s">
        <v>70</v>
      </c>
      <c r="C26" s="164">
        <v>160385</v>
      </c>
      <c r="D26" s="164">
        <f>140274+-14</f>
        <v>140260</v>
      </c>
      <c r="E26" s="164">
        <f>164242+-11</f>
        <v>164231</v>
      </c>
      <c r="F26" s="164">
        <v>213503</v>
      </c>
      <c r="G26" s="164">
        <v>161514</v>
      </c>
      <c r="H26" s="164">
        <v>160577</v>
      </c>
      <c r="I26" s="164">
        <v>169254</v>
      </c>
      <c r="J26" s="196">
        <v>182354.28568</v>
      </c>
      <c r="K26" s="196">
        <v>220758</v>
      </c>
      <c r="L26" s="196">
        <v>214861.37640000001</v>
      </c>
      <c r="M26" s="196">
        <v>227758</v>
      </c>
      <c r="N26" s="298">
        <v>253378.48154000001</v>
      </c>
      <c r="O26" s="298">
        <v>323198.21117999998</v>
      </c>
      <c r="P26" s="298">
        <v>265119.51142</v>
      </c>
      <c r="Q26" s="302">
        <v>244374.73600999999</v>
      </c>
      <c r="R26" s="302">
        <v>243389.17318000001</v>
      </c>
      <c r="S26" s="298">
        <v>162782.774</v>
      </c>
      <c r="T26" s="298">
        <v>171197.47500000001</v>
      </c>
      <c r="U26" s="298">
        <v>187119.48199999999</v>
      </c>
    </row>
    <row r="27" spans="1:21">
      <c r="A27" s="35"/>
      <c r="B27" s="36"/>
      <c r="C27" s="30"/>
      <c r="D27" s="31"/>
      <c r="E27" s="30"/>
      <c r="F27" s="30"/>
      <c r="G27" s="150"/>
      <c r="H27" s="37"/>
      <c r="I27" s="156"/>
      <c r="J27" s="200"/>
      <c r="K27" s="200"/>
      <c r="L27" s="200"/>
      <c r="M27" s="200"/>
      <c r="N27" s="305"/>
      <c r="O27" s="305"/>
      <c r="P27" s="305"/>
      <c r="Q27" s="308"/>
      <c r="R27" s="308"/>
      <c r="S27" s="305"/>
      <c r="T27" s="305"/>
      <c r="U27" s="305"/>
    </row>
    <row r="28" spans="1:21">
      <c r="A28" s="11">
        <v>23</v>
      </c>
      <c r="B28" s="38" t="s">
        <v>24</v>
      </c>
      <c r="C28" s="13">
        <v>747465</v>
      </c>
      <c r="D28" s="13">
        <v>747237</v>
      </c>
      <c r="E28" s="13">
        <v>741875</v>
      </c>
      <c r="F28" s="13">
        <v>753296</v>
      </c>
      <c r="G28" s="13">
        <v>731122</v>
      </c>
      <c r="H28" s="13">
        <v>523470</v>
      </c>
      <c r="I28" s="13">
        <v>406919</v>
      </c>
      <c r="J28" s="198">
        <v>388018.77367999993</v>
      </c>
      <c r="K28" s="198">
        <v>367733</v>
      </c>
      <c r="L28" s="198">
        <v>347305.02807999996</v>
      </c>
      <c r="M28" s="198">
        <v>326042</v>
      </c>
      <c r="N28" s="313">
        <v>303897.92992999998</v>
      </c>
      <c r="O28" s="313">
        <v>0</v>
      </c>
      <c r="P28" s="313"/>
      <c r="Q28" s="309"/>
      <c r="R28" s="309"/>
      <c r="S28" s="388"/>
      <c r="T28" s="388"/>
      <c r="U28" s="388"/>
    </row>
    <row r="29" spans="1:21">
      <c r="A29" s="53"/>
      <c r="B29" s="40"/>
      <c r="C29" s="16"/>
      <c r="D29" s="17"/>
      <c r="E29" s="16"/>
      <c r="F29" s="16"/>
      <c r="G29" s="148"/>
      <c r="H29" s="18"/>
      <c r="I29" s="18"/>
      <c r="J29" s="196"/>
      <c r="K29" s="196"/>
      <c r="L29" s="196"/>
      <c r="M29" s="196"/>
      <c r="N29" s="298"/>
      <c r="O29" s="298"/>
      <c r="P29" s="298"/>
      <c r="Q29" s="311"/>
      <c r="R29" s="311"/>
      <c r="S29" s="298"/>
      <c r="T29" s="298"/>
      <c r="U29" s="298"/>
    </row>
    <row r="30" spans="1:21">
      <c r="A30" s="11">
        <v>24</v>
      </c>
      <c r="B30" s="38" t="s">
        <v>25</v>
      </c>
      <c r="C30" s="13">
        <v>54401</v>
      </c>
      <c r="D30" s="13">
        <v>50504</v>
      </c>
      <c r="E30" s="13">
        <v>40565</v>
      </c>
      <c r="F30" s="13">
        <v>48830</v>
      </c>
      <c r="G30" s="13">
        <v>82136</v>
      </c>
      <c r="H30" s="13">
        <v>74294</v>
      </c>
      <c r="I30" s="13">
        <v>98019</v>
      </c>
      <c r="J30" s="198">
        <v>89414.797120000003</v>
      </c>
      <c r="K30" s="198">
        <v>56501</v>
      </c>
      <c r="L30" s="198">
        <v>64000.795570000002</v>
      </c>
      <c r="M30" s="198">
        <v>45677</v>
      </c>
      <c r="N30" s="313">
        <v>49927.796770000001</v>
      </c>
      <c r="O30" s="313">
        <v>95859.354179999995</v>
      </c>
      <c r="P30" s="313">
        <v>74921.18664</v>
      </c>
      <c r="Q30" s="309">
        <v>72515.496459999995</v>
      </c>
      <c r="R30" s="309">
        <v>68851.538480000003</v>
      </c>
      <c r="S30" s="388">
        <v>72126.116000000009</v>
      </c>
      <c r="T30" s="388">
        <v>78802.714000000007</v>
      </c>
      <c r="U30" s="388">
        <v>84299.213000000003</v>
      </c>
    </row>
    <row r="31" spans="1:21">
      <c r="A31" s="44"/>
      <c r="B31" s="45"/>
      <c r="C31" s="164"/>
      <c r="D31" s="17"/>
      <c r="E31" s="16"/>
      <c r="F31" s="16"/>
      <c r="G31" s="13"/>
      <c r="H31" s="18"/>
      <c r="I31" s="18"/>
      <c r="J31" s="196"/>
      <c r="K31" s="196"/>
      <c r="L31" s="196"/>
      <c r="M31" s="196"/>
      <c r="N31" s="298"/>
      <c r="O31" s="298"/>
      <c r="P31" s="298"/>
      <c r="Q31" s="311"/>
      <c r="R31" s="311"/>
      <c r="S31" s="298"/>
      <c r="T31" s="298"/>
      <c r="U31" s="298"/>
    </row>
    <row r="32" spans="1:21">
      <c r="A32" s="54">
        <v>28</v>
      </c>
      <c r="B32" s="47" t="s">
        <v>26</v>
      </c>
      <c r="C32" s="13">
        <v>30828</v>
      </c>
      <c r="D32" s="13">
        <v>30861</v>
      </c>
      <c r="E32" s="13">
        <v>31705</v>
      </c>
      <c r="F32" s="13">
        <v>29323</v>
      </c>
      <c r="G32" s="13">
        <v>30868</v>
      </c>
      <c r="H32" s="13">
        <v>31771</v>
      </c>
      <c r="I32" s="13">
        <v>105018</v>
      </c>
      <c r="J32" s="198">
        <v>127947.07112000001</v>
      </c>
      <c r="K32" s="198">
        <v>82763</v>
      </c>
      <c r="L32" s="198">
        <v>70193.912670000005</v>
      </c>
      <c r="M32" s="198">
        <v>70617</v>
      </c>
      <c r="N32" s="313">
        <v>76130.772020000004</v>
      </c>
      <c r="O32" s="313">
        <v>36510.05373</v>
      </c>
      <c r="P32" s="313">
        <v>40951.452060000003</v>
      </c>
      <c r="Q32" s="309">
        <v>39909.297400000003</v>
      </c>
      <c r="R32" s="309">
        <v>39701.009910000001</v>
      </c>
      <c r="S32" s="388">
        <v>36525.707000000002</v>
      </c>
      <c r="T32" s="388">
        <v>36331.828999999998</v>
      </c>
      <c r="U32" s="388">
        <v>38131.112000000001</v>
      </c>
    </row>
    <row r="33" spans="1:21">
      <c r="A33" s="53"/>
      <c r="B33" s="40"/>
      <c r="C33" s="16"/>
      <c r="D33" s="17"/>
      <c r="E33" s="16"/>
      <c r="F33" s="16"/>
      <c r="G33" s="13"/>
      <c r="H33" s="18"/>
      <c r="I33" s="18"/>
      <c r="J33" s="196"/>
      <c r="K33" s="196"/>
      <c r="L33" s="196"/>
      <c r="M33" s="196"/>
      <c r="N33" s="298"/>
      <c r="O33" s="298"/>
      <c r="P33" s="298"/>
      <c r="Q33" s="311"/>
      <c r="R33" s="311"/>
      <c r="S33" s="298"/>
      <c r="T33" s="298"/>
      <c r="U33" s="298"/>
    </row>
    <row r="34" spans="1:21">
      <c r="A34" s="11">
        <v>29</v>
      </c>
      <c r="B34" s="38" t="s">
        <v>27</v>
      </c>
      <c r="C34" s="13">
        <v>-11666.6679999999</v>
      </c>
      <c r="D34" s="13">
        <v>68139</v>
      </c>
      <c r="E34" s="13">
        <v>18115</v>
      </c>
      <c r="F34" s="13">
        <v>-3885</v>
      </c>
      <c r="G34" s="13">
        <v>-1043</v>
      </c>
      <c r="H34" s="13">
        <v>894123</v>
      </c>
      <c r="I34" s="13">
        <v>132167</v>
      </c>
      <c r="J34" s="198">
        <v>329209.62488999998</v>
      </c>
      <c r="K34" s="198">
        <v>452306</v>
      </c>
      <c r="L34" s="198">
        <v>581111.13977000001</v>
      </c>
      <c r="M34" s="198">
        <v>646904</v>
      </c>
      <c r="N34" s="313">
        <v>682027.42084000004</v>
      </c>
      <c r="O34" s="313">
        <v>3830288.3653600002</v>
      </c>
      <c r="P34" s="313">
        <v>3818993.2390399999</v>
      </c>
      <c r="Q34" s="309">
        <v>3796433.8224800001</v>
      </c>
      <c r="R34" s="309">
        <v>3868561.7097100001</v>
      </c>
      <c r="S34" s="388">
        <v>3818176.4640000002</v>
      </c>
      <c r="T34" s="388">
        <v>3842154.9219999998</v>
      </c>
      <c r="U34" s="388">
        <v>3929505.463</v>
      </c>
    </row>
    <row r="35" spans="1:21">
      <c r="A35" s="41"/>
      <c r="B35" s="42"/>
      <c r="C35" s="56"/>
      <c r="D35" s="57"/>
      <c r="E35" s="56"/>
      <c r="F35" s="56"/>
      <c r="G35" s="56"/>
      <c r="H35" s="56"/>
      <c r="I35" s="56"/>
      <c r="J35" s="216"/>
      <c r="K35" s="216"/>
      <c r="L35" s="167"/>
      <c r="M35" s="167"/>
      <c r="N35" s="167"/>
      <c r="O35" s="167"/>
      <c r="P35" s="167"/>
      <c r="Q35" s="311"/>
      <c r="R35" s="311"/>
      <c r="S35" s="360"/>
      <c r="T35" s="360"/>
      <c r="U35" s="360"/>
    </row>
    <row r="36" spans="1:21">
      <c r="A36" s="170"/>
      <c r="B36" s="60"/>
      <c r="C36" s="171"/>
      <c r="D36" s="172"/>
      <c r="E36" s="171"/>
      <c r="F36" s="173"/>
      <c r="G36" s="174"/>
      <c r="H36" s="174"/>
      <c r="I36" s="174"/>
      <c r="J36" s="171"/>
      <c r="K36" s="171"/>
      <c r="L36" s="225"/>
      <c r="M36" s="225"/>
      <c r="N36" s="225"/>
      <c r="O36" s="225"/>
      <c r="P36" s="225"/>
      <c r="Q36" s="341"/>
      <c r="R36" s="341"/>
      <c r="S36" s="362"/>
      <c r="T36" s="362"/>
      <c r="U36" s="362"/>
    </row>
    <row r="37" spans="1:21">
      <c r="A37" s="66"/>
      <c r="B37" s="66"/>
      <c r="C37" s="68"/>
      <c r="D37" s="68"/>
      <c r="E37" s="68"/>
      <c r="F37" s="275"/>
      <c r="G37" s="68"/>
      <c r="H37" s="68"/>
      <c r="I37" s="68"/>
      <c r="J37" s="68"/>
      <c r="K37" s="77"/>
      <c r="L37" s="77"/>
    </row>
    <row r="38" spans="1:21" s="279" customFormat="1" ht="15.75">
      <c r="A38" s="276"/>
      <c r="B38" s="276"/>
      <c r="C38" s="277"/>
      <c r="D38" s="277"/>
      <c r="E38" s="277"/>
      <c r="F38" s="277"/>
      <c r="G38" s="277"/>
      <c r="H38" s="277"/>
      <c r="I38" s="277"/>
      <c r="J38" s="277"/>
      <c r="K38" s="278"/>
      <c r="L38" s="278"/>
      <c r="M38"/>
      <c r="P38" s="335"/>
      <c r="Q38" s="335"/>
      <c r="R38" s="334"/>
      <c r="S38" s="334"/>
      <c r="T38" s="334"/>
      <c r="U38" s="334"/>
    </row>
    <row r="39" spans="1:21" s="279" customFormat="1">
      <c r="A39" s="280">
        <v>117</v>
      </c>
      <c r="B39" s="281" t="s">
        <v>91</v>
      </c>
      <c r="C39" s="282" t="s">
        <v>92</v>
      </c>
      <c r="D39" s="282" t="s">
        <v>92</v>
      </c>
      <c r="E39" s="282" t="s">
        <v>92</v>
      </c>
      <c r="F39" s="282" t="s">
        <v>92</v>
      </c>
      <c r="G39" s="282" t="s">
        <v>92</v>
      </c>
      <c r="H39" s="282" t="s">
        <v>92</v>
      </c>
      <c r="I39" s="283">
        <v>-290666.94957999996</v>
      </c>
      <c r="J39" s="284">
        <v>-100968.33584999999</v>
      </c>
      <c r="K39" s="283">
        <v>-129980.93751999999</v>
      </c>
      <c r="L39" s="283">
        <v>-84039.563200000004</v>
      </c>
      <c r="N39" s="283">
        <v>-106621.39139999999</v>
      </c>
      <c r="R39" s="78"/>
      <c r="S39" s="78"/>
      <c r="T39" s="78"/>
      <c r="U39" s="78"/>
    </row>
    <row r="40" spans="1:21" s="279" customFormat="1">
      <c r="A40" s="285" t="s">
        <v>7</v>
      </c>
      <c r="B40" s="286" t="s">
        <v>93</v>
      </c>
      <c r="C40" s="287">
        <v>742016.33200000005</v>
      </c>
      <c r="D40" s="287">
        <v>741728.13100000005</v>
      </c>
      <c r="E40" s="287">
        <v>701452.50300000003</v>
      </c>
      <c r="F40" s="287">
        <v>681416.33644999994</v>
      </c>
      <c r="G40" s="287">
        <v>656957.74945</v>
      </c>
      <c r="H40" s="287">
        <v>636779.52599999995</v>
      </c>
      <c r="I40" s="287">
        <v>98015.198000000004</v>
      </c>
      <c r="J40" s="287">
        <v>92095.538</v>
      </c>
      <c r="K40" s="288">
        <v>76718.599000000002</v>
      </c>
      <c r="L40" s="288">
        <v>50758.483999999997</v>
      </c>
      <c r="N40" s="288">
        <v>22691.522000000001</v>
      </c>
      <c r="P40" s="368"/>
      <c r="Q40" s="368"/>
      <c r="R40" s="368"/>
      <c r="S40" s="368"/>
      <c r="T40" s="368"/>
      <c r="U40" s="368"/>
    </row>
    <row r="41" spans="1:21" s="279" customFormat="1">
      <c r="A41" s="276"/>
      <c r="B41" s="286" t="s">
        <v>94</v>
      </c>
      <c r="C41" s="277"/>
      <c r="D41" s="277"/>
      <c r="E41" s="277"/>
      <c r="F41" s="277"/>
      <c r="G41" s="277"/>
      <c r="H41" s="277"/>
      <c r="I41" s="277"/>
      <c r="J41" s="277"/>
      <c r="K41" s="278"/>
      <c r="L41" s="278"/>
      <c r="P41" s="368"/>
      <c r="Q41" s="368"/>
      <c r="R41" s="368"/>
      <c r="S41" s="368"/>
      <c r="T41" s="368"/>
      <c r="U41" s="368"/>
    </row>
    <row r="42" spans="1:21" s="279" customFormat="1" ht="25.5" customHeight="1">
      <c r="A42" s="396" t="s">
        <v>95</v>
      </c>
      <c r="B42" s="396"/>
      <c r="C42" s="396"/>
      <c r="D42" s="396"/>
      <c r="E42" s="396"/>
      <c r="F42" s="396"/>
      <c r="G42" s="396"/>
      <c r="H42" s="396"/>
      <c r="I42" s="396"/>
      <c r="J42" s="396"/>
      <c r="K42" s="396"/>
      <c r="L42" s="396"/>
      <c r="R42" s="78"/>
      <c r="S42" s="78"/>
      <c r="T42" s="78"/>
      <c r="U42" s="78"/>
    </row>
    <row r="43" spans="1:21" s="279" customFormat="1">
      <c r="A43" s="276"/>
      <c r="B43" s="276"/>
      <c r="C43" s="277"/>
      <c r="D43" s="277"/>
      <c r="E43" s="277"/>
      <c r="F43" s="277"/>
      <c r="G43" s="277"/>
      <c r="H43" s="277"/>
      <c r="I43" s="277"/>
      <c r="J43" s="277"/>
      <c r="K43" s="278"/>
      <c r="L43" s="278"/>
      <c r="R43" s="78"/>
      <c r="S43" s="78"/>
      <c r="T43" s="78"/>
      <c r="U43" s="78"/>
    </row>
    <row r="44" spans="1:21">
      <c r="A44" s="74"/>
      <c r="B44" s="74"/>
      <c r="C44" s="65"/>
      <c r="D44" s="65"/>
      <c r="E44" s="65"/>
      <c r="F44" s="65"/>
      <c r="G44" s="65"/>
      <c r="H44" s="68"/>
      <c r="I44" s="68"/>
      <c r="J44" s="65"/>
    </row>
  </sheetData>
  <sheetProtection selectLockedCells="1" sort="0" autoFilter="0" pivotTables="0"/>
  <mergeCells count="1">
    <mergeCell ref="A42:L42"/>
  </mergeCells>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4" width="11.42578125" style="2"/>
    <col min="15" max="15" width="17.5703125" style="2" customWidth="1"/>
    <col min="16" max="17" width="11.42578125" style="2"/>
    <col min="18" max="21" width="15.42578125" style="78" bestFit="1" customWidth="1"/>
    <col min="22" max="16384" width="11.42578125" style="2"/>
  </cols>
  <sheetData>
    <row r="1" spans="1:21">
      <c r="A1" s="187" t="s">
        <v>0</v>
      </c>
      <c r="B1" s="12" t="s">
        <v>1</v>
      </c>
      <c r="C1" s="261">
        <v>2000</v>
      </c>
      <c r="D1" s="261">
        <v>2001</v>
      </c>
      <c r="E1" s="261">
        <v>2002</v>
      </c>
      <c r="F1" s="261">
        <v>2003</v>
      </c>
      <c r="G1" s="261">
        <v>2004</v>
      </c>
      <c r="H1" s="261">
        <v>2005</v>
      </c>
      <c r="I1" s="261">
        <v>2006</v>
      </c>
      <c r="J1" s="262">
        <v>2007</v>
      </c>
      <c r="K1" s="262">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67</v>
      </c>
      <c r="C2" s="242"/>
      <c r="D2" s="242"/>
      <c r="E2" s="242"/>
      <c r="F2" s="242"/>
      <c r="G2" s="242"/>
      <c r="H2" s="242"/>
      <c r="I2" s="242"/>
      <c r="J2" s="357"/>
      <c r="K2" s="357"/>
      <c r="L2" s="349"/>
      <c r="M2" s="358" t="s">
        <v>104</v>
      </c>
      <c r="N2" s="358" t="s">
        <v>104</v>
      </c>
      <c r="O2" s="358" t="s">
        <v>103</v>
      </c>
      <c r="P2" s="358" t="s">
        <v>103</v>
      </c>
      <c r="Q2" s="359" t="s">
        <v>103</v>
      </c>
      <c r="R2" s="359" t="s">
        <v>103</v>
      </c>
      <c r="S2" s="359" t="s">
        <v>103</v>
      </c>
      <c r="T2" s="359" t="s">
        <v>103</v>
      </c>
      <c r="U2" s="359" t="s">
        <v>103</v>
      </c>
    </row>
    <row r="3" spans="1:21">
      <c r="A3" s="186"/>
      <c r="B3" s="2"/>
      <c r="C3" s="243" t="s">
        <v>4</v>
      </c>
      <c r="D3" s="243" t="s">
        <v>4</v>
      </c>
      <c r="E3" s="243" t="s">
        <v>4</v>
      </c>
      <c r="F3" s="243" t="s">
        <v>4</v>
      </c>
      <c r="G3" s="243" t="s">
        <v>4</v>
      </c>
      <c r="H3" s="243" t="s">
        <v>4</v>
      </c>
      <c r="I3" s="212" t="s">
        <v>4</v>
      </c>
      <c r="J3" s="212" t="s">
        <v>4</v>
      </c>
      <c r="K3" s="212"/>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269181</v>
      </c>
      <c r="D4" s="228">
        <f t="shared" si="0"/>
        <v>263212</v>
      </c>
      <c r="E4" s="228">
        <f t="shared" si="0"/>
        <v>281928</v>
      </c>
      <c r="F4" s="228">
        <f t="shared" si="0"/>
        <v>261634</v>
      </c>
      <c r="G4" s="228">
        <f t="shared" si="0"/>
        <v>278593</v>
      </c>
      <c r="H4" s="228">
        <f t="shared" si="0"/>
        <v>322332</v>
      </c>
      <c r="I4" s="198">
        <f t="shared" ref="I4:O4" si="1">I6+I11+I16+I18</f>
        <v>318684</v>
      </c>
      <c r="J4" s="198">
        <f t="shared" si="1"/>
        <v>324742</v>
      </c>
      <c r="K4" s="198">
        <f t="shared" si="1"/>
        <v>337738</v>
      </c>
      <c r="L4" s="198">
        <f t="shared" si="1"/>
        <v>368056</v>
      </c>
      <c r="M4" s="198">
        <f t="shared" si="1"/>
        <v>390534</v>
      </c>
      <c r="N4" s="198">
        <f t="shared" si="1"/>
        <v>1495164.66289</v>
      </c>
      <c r="O4" s="198">
        <f t="shared" si="1"/>
        <v>385929</v>
      </c>
      <c r="P4" s="198">
        <f t="shared" ref="P4:Q4" si="2">P6+P11+P16+P18</f>
        <v>369652.1</v>
      </c>
      <c r="Q4" s="13">
        <f t="shared" si="2"/>
        <v>391611</v>
      </c>
      <c r="R4" s="13">
        <f t="shared" ref="R4" si="3">R6+R11+R16+R18</f>
        <v>619155.19999999995</v>
      </c>
      <c r="S4" s="348">
        <f t="shared" ref="S4:T4" si="4">S6+S11+S16+S18</f>
        <v>632585</v>
      </c>
      <c r="T4" s="348">
        <f t="shared" si="4"/>
        <v>647254.30000000005</v>
      </c>
      <c r="U4" s="348">
        <f t="shared" ref="U4" si="5">U6+U11+U16+U18</f>
        <v>644308</v>
      </c>
    </row>
    <row r="5" spans="1:21">
      <c r="A5" s="14"/>
      <c r="B5" s="15"/>
      <c r="C5" s="229"/>
      <c r="D5" s="230"/>
      <c r="E5" s="229"/>
      <c r="F5" s="229"/>
      <c r="G5" s="27"/>
      <c r="H5" s="196"/>
      <c r="I5" s="196"/>
      <c r="J5" s="213"/>
      <c r="K5" s="213"/>
      <c r="L5" s="196"/>
      <c r="M5" s="196"/>
      <c r="N5" s="196"/>
      <c r="O5" s="196"/>
      <c r="P5" s="196"/>
      <c r="Q5" s="18"/>
      <c r="R5" s="18"/>
      <c r="S5" s="298"/>
      <c r="T5" s="298"/>
      <c r="U5" s="298"/>
    </row>
    <row r="6" spans="1:21">
      <c r="A6" s="19">
        <v>10</v>
      </c>
      <c r="B6" s="12" t="s">
        <v>6</v>
      </c>
      <c r="C6" s="198">
        <f t="shared" ref="C6:H6" si="6">C7+C8+C9</f>
        <v>128519</v>
      </c>
      <c r="D6" s="198">
        <f t="shared" si="6"/>
        <v>129733</v>
      </c>
      <c r="E6" s="198">
        <f t="shared" si="6"/>
        <v>154844</v>
      </c>
      <c r="F6" s="198">
        <f t="shared" si="6"/>
        <v>137831</v>
      </c>
      <c r="G6" s="198">
        <f t="shared" si="6"/>
        <v>157233</v>
      </c>
      <c r="H6" s="198">
        <f t="shared" si="6"/>
        <v>229583</v>
      </c>
      <c r="I6" s="198">
        <f t="shared" ref="I6:N6" si="7">I7+I8+I9</f>
        <v>228470</v>
      </c>
      <c r="J6" s="198">
        <f t="shared" si="7"/>
        <v>235060</v>
      </c>
      <c r="K6" s="198">
        <f t="shared" si="7"/>
        <v>240997</v>
      </c>
      <c r="L6" s="198">
        <f t="shared" si="7"/>
        <v>269776</v>
      </c>
      <c r="M6" s="198">
        <f t="shared" si="7"/>
        <v>284433</v>
      </c>
      <c r="N6" s="198">
        <f t="shared" si="7"/>
        <v>1353108.66289</v>
      </c>
      <c r="O6" s="198">
        <f t="shared" ref="O6:T6" si="8">O7+O8+O9</f>
        <v>239905</v>
      </c>
      <c r="P6" s="198">
        <f t="shared" si="8"/>
        <v>222617.60000000001</v>
      </c>
      <c r="Q6" s="13">
        <f t="shared" si="8"/>
        <v>150676.00000000003</v>
      </c>
      <c r="R6" s="13">
        <f t="shared" si="8"/>
        <v>283888.90000000002</v>
      </c>
      <c r="S6" s="348">
        <f t="shared" si="8"/>
        <v>303183</v>
      </c>
      <c r="T6" s="348">
        <f t="shared" si="8"/>
        <v>324039.8</v>
      </c>
      <c r="U6" s="348">
        <f t="shared" ref="U6" si="9">U7+U8+U9</f>
        <v>317093.5</v>
      </c>
    </row>
    <row r="7" spans="1:21">
      <c r="A7" s="20" t="s">
        <v>7</v>
      </c>
      <c r="B7" s="21" t="s">
        <v>8</v>
      </c>
      <c r="C7" s="231">
        <f>15781+99081</f>
        <v>114862</v>
      </c>
      <c r="D7" s="231">
        <f>14201+104417</f>
        <v>118618</v>
      </c>
      <c r="E7" s="231">
        <f>16055+127488</f>
        <v>143543</v>
      </c>
      <c r="F7" s="231">
        <f>55941+68198</f>
        <v>124139</v>
      </c>
      <c r="G7" s="231">
        <f>40132+101078</f>
        <v>141210</v>
      </c>
      <c r="H7" s="231">
        <f>13333+180467</f>
        <v>193800</v>
      </c>
      <c r="I7" s="231">
        <f>15625+164615</f>
        <v>180240</v>
      </c>
      <c r="J7" s="213">
        <f>30871+149148</f>
        <v>180019</v>
      </c>
      <c r="K7" s="213">
        <v>181533</v>
      </c>
      <c r="L7" s="196">
        <v>212173</v>
      </c>
      <c r="M7" s="196">
        <f>105510+80230</f>
        <v>185740</v>
      </c>
      <c r="N7" s="298">
        <v>1252114.66289</v>
      </c>
      <c r="O7" s="298">
        <v>147079</v>
      </c>
      <c r="P7" s="298">
        <v>139830.9</v>
      </c>
      <c r="Q7" s="302">
        <v>166818.20000000001</v>
      </c>
      <c r="R7" s="302">
        <v>172635.1</v>
      </c>
      <c r="S7" s="298">
        <v>199511</v>
      </c>
      <c r="T7" s="298">
        <v>209170.3</v>
      </c>
      <c r="U7" s="298">
        <v>226857.90000000002</v>
      </c>
    </row>
    <row r="8" spans="1:21">
      <c r="A8" s="25">
        <v>102</v>
      </c>
      <c r="B8" s="26" t="s">
        <v>9</v>
      </c>
      <c r="C8" s="231">
        <v>12932</v>
      </c>
      <c r="D8" s="231">
        <v>10731</v>
      </c>
      <c r="E8" s="231">
        <v>10947</v>
      </c>
      <c r="F8" s="231">
        <v>13456</v>
      </c>
      <c r="G8" s="231">
        <v>15804</v>
      </c>
      <c r="H8" s="231">
        <f>35402</f>
        <v>35402</v>
      </c>
      <c r="I8" s="231">
        <v>47563</v>
      </c>
      <c r="J8" s="238">
        <v>54165</v>
      </c>
      <c r="K8" s="238">
        <v>54848</v>
      </c>
      <c r="L8" s="199">
        <v>51328</v>
      </c>
      <c r="M8" s="199">
        <f>41700+46485+4393+141</f>
        <v>92719</v>
      </c>
      <c r="N8" s="300">
        <f>31185+134+48115+4393</f>
        <v>83827</v>
      </c>
      <c r="O8" s="300">
        <v>83443</v>
      </c>
      <c r="P8" s="300">
        <v>72584.700000000012</v>
      </c>
      <c r="Q8" s="302">
        <v>-31529.300000000003</v>
      </c>
      <c r="R8" s="302">
        <v>91293.700000000012</v>
      </c>
      <c r="S8" s="300">
        <v>81395</v>
      </c>
      <c r="T8" s="300">
        <v>91883.199999999997</v>
      </c>
      <c r="U8" s="300">
        <v>84432.5</v>
      </c>
    </row>
    <row r="9" spans="1:21">
      <c r="A9" s="25">
        <v>103</v>
      </c>
      <c r="B9" s="26" t="s">
        <v>10</v>
      </c>
      <c r="C9" s="231">
        <v>725</v>
      </c>
      <c r="D9" s="231">
        <v>384</v>
      </c>
      <c r="E9" s="231">
        <v>354</v>
      </c>
      <c r="F9" s="231">
        <v>236</v>
      </c>
      <c r="G9" s="231">
        <v>219</v>
      </c>
      <c r="H9" s="231">
        <v>381</v>
      </c>
      <c r="I9" s="231">
        <v>667</v>
      </c>
      <c r="J9" s="238">
        <v>876</v>
      </c>
      <c r="K9" s="238">
        <v>4616</v>
      </c>
      <c r="L9" s="196">
        <v>6275</v>
      </c>
      <c r="M9" s="196">
        <v>5974</v>
      </c>
      <c r="N9" s="298">
        <v>17167</v>
      </c>
      <c r="O9" s="298">
        <v>9383</v>
      </c>
      <c r="P9" s="298">
        <v>10202</v>
      </c>
      <c r="Q9" s="302">
        <v>15387.1</v>
      </c>
      <c r="R9" s="302">
        <v>19960.099999999999</v>
      </c>
      <c r="S9" s="298">
        <v>22277</v>
      </c>
      <c r="T9" s="298">
        <v>22986.3</v>
      </c>
      <c r="U9" s="298">
        <v>5803.1</v>
      </c>
    </row>
    <row r="10" spans="1:21">
      <c r="A10" s="28"/>
      <c r="B10" s="29"/>
      <c r="C10" s="232"/>
      <c r="D10" s="233"/>
      <c r="E10" s="232"/>
      <c r="F10" s="232"/>
      <c r="G10" s="27"/>
      <c r="H10" s="196"/>
      <c r="I10" s="196"/>
      <c r="J10" s="238"/>
      <c r="K10" s="238"/>
      <c r="L10" s="196"/>
      <c r="M10" s="196"/>
      <c r="N10" s="196"/>
      <c r="O10" s="196"/>
      <c r="P10" s="196"/>
      <c r="Q10" s="18"/>
      <c r="R10" s="18"/>
      <c r="S10" s="298"/>
      <c r="T10" s="298"/>
      <c r="U10" s="298"/>
    </row>
    <row r="11" spans="1:21">
      <c r="A11" s="19">
        <v>11</v>
      </c>
      <c r="B11" s="12" t="s">
        <v>11</v>
      </c>
      <c r="C11" s="198">
        <f t="shared" ref="C11:H11" si="10">C12+C13+C14</f>
        <v>139082</v>
      </c>
      <c r="D11" s="198">
        <f t="shared" si="10"/>
        <v>133479</v>
      </c>
      <c r="E11" s="198">
        <f t="shared" si="10"/>
        <v>127084</v>
      </c>
      <c r="F11" s="198">
        <f t="shared" si="10"/>
        <v>123803</v>
      </c>
      <c r="G11" s="198">
        <f t="shared" si="10"/>
        <v>121055</v>
      </c>
      <c r="H11" s="198">
        <f t="shared" si="10"/>
        <v>92432</v>
      </c>
      <c r="I11" s="198">
        <f t="shared" ref="I11:N11" si="11">I12+I13+I14</f>
        <v>90214</v>
      </c>
      <c r="J11" s="198">
        <f t="shared" si="11"/>
        <v>89682</v>
      </c>
      <c r="K11" s="198">
        <f t="shared" si="11"/>
        <v>96741</v>
      </c>
      <c r="L11" s="198">
        <f t="shared" si="11"/>
        <v>98280</v>
      </c>
      <c r="M11" s="198">
        <f t="shared" si="11"/>
        <v>106101</v>
      </c>
      <c r="N11" s="198">
        <f t="shared" si="11"/>
        <v>142056</v>
      </c>
      <c r="O11" s="198">
        <f>O12+O13+O14</f>
        <v>146024</v>
      </c>
      <c r="P11" s="198">
        <f>P12+P13+P14</f>
        <v>147034.49999999997</v>
      </c>
      <c r="Q11" s="13">
        <f t="shared" ref="Q11" si="12">Q12+Q13+Q14</f>
        <v>240935</v>
      </c>
      <c r="R11" s="13">
        <f t="shared" ref="R11" si="13">R12+R13+R14</f>
        <v>335266.3</v>
      </c>
      <c r="S11" s="348">
        <f t="shared" ref="S11:T11" si="14">S12+S13+S14</f>
        <v>329402</v>
      </c>
      <c r="T11" s="348">
        <f t="shared" si="14"/>
        <v>323214.5</v>
      </c>
      <c r="U11" s="348">
        <f t="shared" ref="U11" si="15">U12+U13+U14</f>
        <v>327214.5</v>
      </c>
    </row>
    <row r="12" spans="1:21">
      <c r="A12" s="32">
        <v>114</v>
      </c>
      <c r="B12" s="21" t="s">
        <v>12</v>
      </c>
      <c r="C12" s="231">
        <v>57759</v>
      </c>
      <c r="D12" s="231">
        <v>49757</v>
      </c>
      <c r="E12" s="231">
        <v>18060</v>
      </c>
      <c r="F12" s="231">
        <v>16890</v>
      </c>
      <c r="G12" s="231">
        <v>21290</v>
      </c>
      <c r="H12" s="231">
        <v>0</v>
      </c>
      <c r="I12" s="231">
        <v>0</v>
      </c>
      <c r="J12" s="213">
        <v>0</v>
      </c>
      <c r="K12" s="213">
        <v>0</v>
      </c>
      <c r="L12" s="196">
        <v>0</v>
      </c>
      <c r="M12" s="196">
        <f>135976+1130</f>
        <v>137106</v>
      </c>
      <c r="N12" s="298">
        <f>96040+1876</f>
        <v>97916</v>
      </c>
      <c r="O12" s="298">
        <v>-96781</v>
      </c>
      <c r="P12" s="298">
        <v>5917.8000000000029</v>
      </c>
      <c r="Q12" s="302">
        <v>102618</v>
      </c>
      <c r="R12" s="302">
        <v>98475.3</v>
      </c>
      <c r="S12" s="298">
        <v>94547.8</v>
      </c>
      <c r="T12" s="298">
        <v>92534</v>
      </c>
      <c r="U12" s="298">
        <v>90954.3</v>
      </c>
    </row>
    <row r="13" spans="1:21">
      <c r="A13" s="25">
        <v>115</v>
      </c>
      <c r="B13" s="26" t="s">
        <v>13</v>
      </c>
      <c r="C13" s="231">
        <v>60551</v>
      </c>
      <c r="D13" s="231">
        <v>56193</v>
      </c>
      <c r="E13" s="231">
        <v>86424</v>
      </c>
      <c r="F13" s="231">
        <v>86823</v>
      </c>
      <c r="G13" s="231">
        <v>86460</v>
      </c>
      <c r="H13" s="231">
        <v>92432</v>
      </c>
      <c r="I13" s="231">
        <v>90214</v>
      </c>
      <c r="J13" s="238">
        <v>89682</v>
      </c>
      <c r="K13" s="238">
        <v>96741</v>
      </c>
      <c r="L13" s="199">
        <v>98280</v>
      </c>
      <c r="M13" s="199">
        <f>19438+78658</f>
        <v>98096</v>
      </c>
      <c r="N13" s="300">
        <f>23002+118713</f>
        <v>141715</v>
      </c>
      <c r="O13" s="300">
        <v>141895</v>
      </c>
      <c r="P13" s="300">
        <v>142924.29999999999</v>
      </c>
      <c r="Q13" s="302">
        <v>143161.60000000001</v>
      </c>
      <c r="R13" s="302">
        <v>141841.20000000001</v>
      </c>
      <c r="S13" s="300">
        <v>141042.20000000001</v>
      </c>
      <c r="T13" s="300">
        <v>141664.79999999999</v>
      </c>
      <c r="U13" s="300">
        <v>149486.79999999999</v>
      </c>
    </row>
    <row r="14" spans="1:21">
      <c r="A14" s="33" t="s">
        <v>14</v>
      </c>
      <c r="B14" s="34" t="s">
        <v>15</v>
      </c>
      <c r="C14" s="231">
        <v>20772</v>
      </c>
      <c r="D14" s="231">
        <f>27529</f>
        <v>27529</v>
      </c>
      <c r="E14" s="231">
        <f>22600</f>
        <v>22600</v>
      </c>
      <c r="F14" s="231">
        <f>20090</f>
        <v>20090</v>
      </c>
      <c r="G14" s="231">
        <f>13305</f>
        <v>13305</v>
      </c>
      <c r="H14" s="231">
        <v>0</v>
      </c>
      <c r="I14" s="231">
        <v>0</v>
      </c>
      <c r="J14" s="238">
        <v>0</v>
      </c>
      <c r="K14" s="238">
        <v>0</v>
      </c>
      <c r="L14" s="196">
        <v>0</v>
      </c>
      <c r="M14" s="196">
        <f>97672-226773</f>
        <v>-129101</v>
      </c>
      <c r="N14" s="298">
        <f>102179-199754</f>
        <v>-97575</v>
      </c>
      <c r="O14" s="298">
        <v>100910</v>
      </c>
      <c r="P14" s="298">
        <v>-1807.6000000000058</v>
      </c>
      <c r="Q14" s="302">
        <v>-4844.6000000000058</v>
      </c>
      <c r="R14" s="302">
        <v>94949.8</v>
      </c>
      <c r="S14" s="298">
        <v>93812</v>
      </c>
      <c r="T14" s="298">
        <v>89015.7</v>
      </c>
      <c r="U14" s="298">
        <v>86773.4</v>
      </c>
    </row>
    <row r="15" spans="1:21">
      <c r="A15" s="35"/>
      <c r="B15" s="36"/>
      <c r="C15" s="232"/>
      <c r="D15" s="233"/>
      <c r="E15" s="232"/>
      <c r="F15" s="232"/>
      <c r="G15" s="27"/>
      <c r="H15" s="200"/>
      <c r="I15" s="234"/>
      <c r="J15" s="238"/>
      <c r="K15" s="238"/>
      <c r="L15" s="200"/>
      <c r="M15" s="200"/>
      <c r="N15" s="305"/>
      <c r="O15" s="305"/>
      <c r="P15" s="305"/>
      <c r="Q15" s="308"/>
      <c r="R15" s="308"/>
      <c r="S15" s="305"/>
      <c r="T15" s="305"/>
      <c r="U15" s="305"/>
    </row>
    <row r="16" spans="1:21">
      <c r="A16" s="11">
        <v>12</v>
      </c>
      <c r="B16" s="38" t="s">
        <v>16</v>
      </c>
      <c r="C16" s="198">
        <v>0</v>
      </c>
      <c r="D16" s="198">
        <v>0</v>
      </c>
      <c r="E16" s="198">
        <v>0</v>
      </c>
      <c r="F16" s="198">
        <v>0</v>
      </c>
      <c r="G16" s="198">
        <v>305</v>
      </c>
      <c r="H16" s="198">
        <v>317</v>
      </c>
      <c r="I16" s="198">
        <v>0</v>
      </c>
      <c r="J16" s="198">
        <v>0</v>
      </c>
      <c r="K16" s="198">
        <v>0</v>
      </c>
      <c r="L16" s="198">
        <v>0</v>
      </c>
      <c r="M16" s="198">
        <v>0</v>
      </c>
      <c r="N16" s="313">
        <v>0</v>
      </c>
      <c r="O16" s="313">
        <v>0</v>
      </c>
      <c r="P16" s="313"/>
      <c r="Q16" s="309">
        <v>0</v>
      </c>
      <c r="R16" s="309">
        <v>0</v>
      </c>
      <c r="S16" s="388">
        <v>0</v>
      </c>
      <c r="T16" s="388">
        <v>0</v>
      </c>
      <c r="U16" s="388">
        <v>0</v>
      </c>
    </row>
    <row r="17" spans="1:21">
      <c r="A17" s="39"/>
      <c r="B17" s="40"/>
      <c r="C17" s="229"/>
      <c r="D17" s="230"/>
      <c r="E17" s="229"/>
      <c r="F17" s="229"/>
      <c r="G17" s="235"/>
      <c r="H17" s="196"/>
      <c r="I17" s="196"/>
      <c r="J17" s="235"/>
      <c r="K17" s="235"/>
      <c r="L17" s="196"/>
      <c r="M17" s="196"/>
      <c r="N17" s="298"/>
      <c r="O17" s="298"/>
      <c r="P17" s="298"/>
      <c r="Q17" s="311"/>
      <c r="R17" s="311"/>
      <c r="S17" s="298"/>
      <c r="T17" s="298"/>
      <c r="U17" s="298"/>
    </row>
    <row r="18" spans="1:21">
      <c r="A18" s="11">
        <v>13</v>
      </c>
      <c r="B18" s="38" t="s">
        <v>17</v>
      </c>
      <c r="C18" s="198">
        <v>1580</v>
      </c>
      <c r="D18" s="198">
        <v>0</v>
      </c>
      <c r="E18" s="198">
        <v>0</v>
      </c>
      <c r="F18" s="198">
        <v>0</v>
      </c>
      <c r="G18" s="198">
        <v>0</v>
      </c>
      <c r="H18" s="198">
        <v>0</v>
      </c>
      <c r="I18" s="198">
        <v>0</v>
      </c>
      <c r="J18" s="198">
        <v>0</v>
      </c>
      <c r="K18" s="198">
        <v>0</v>
      </c>
      <c r="L18" s="198">
        <v>0</v>
      </c>
      <c r="M18" s="198">
        <v>0</v>
      </c>
      <c r="N18" s="313">
        <v>0</v>
      </c>
      <c r="O18" s="313">
        <v>0</v>
      </c>
      <c r="P18" s="313"/>
      <c r="Q18" s="309">
        <v>0</v>
      </c>
      <c r="R18" s="309">
        <v>0</v>
      </c>
      <c r="S18" s="388">
        <v>0</v>
      </c>
      <c r="T18" s="388">
        <v>0</v>
      </c>
      <c r="U18" s="388">
        <v>0</v>
      </c>
    </row>
    <row r="19" spans="1:21">
      <c r="A19" s="41"/>
      <c r="B19" s="42"/>
      <c r="C19" s="236"/>
      <c r="D19" s="237"/>
      <c r="E19" s="236"/>
      <c r="F19" s="236"/>
      <c r="G19" s="24"/>
      <c r="H19" s="196"/>
      <c r="I19" s="196"/>
      <c r="J19" s="213"/>
      <c r="K19" s="213"/>
      <c r="L19" s="196"/>
      <c r="M19" s="196"/>
      <c r="N19" s="298"/>
      <c r="O19" s="298"/>
      <c r="P19" s="298"/>
      <c r="Q19" s="311"/>
      <c r="R19" s="311"/>
      <c r="S19" s="298"/>
      <c r="T19" s="298"/>
      <c r="U19" s="298"/>
    </row>
    <row r="20" spans="1:21">
      <c r="A20" s="43"/>
      <c r="B20" s="36"/>
      <c r="C20" s="232"/>
      <c r="D20" s="233"/>
      <c r="E20" s="232"/>
      <c r="F20" s="232"/>
      <c r="G20" s="238"/>
      <c r="H20" s="200"/>
      <c r="I20" s="234"/>
      <c r="J20" s="238"/>
      <c r="K20" s="238"/>
      <c r="L20" s="200"/>
      <c r="M20" s="200"/>
      <c r="N20" s="305"/>
      <c r="O20" s="305"/>
      <c r="P20" s="305"/>
      <c r="Q20" s="308"/>
      <c r="R20" s="308"/>
      <c r="S20" s="305"/>
      <c r="T20" s="305"/>
      <c r="U20" s="305"/>
    </row>
    <row r="21" spans="1:21">
      <c r="A21" s="11">
        <v>2</v>
      </c>
      <c r="B21" s="38" t="s">
        <v>18</v>
      </c>
      <c r="C21" s="198">
        <f t="shared" ref="C21:I21" si="16">C23+C28+C30+C32+C34</f>
        <v>269181</v>
      </c>
      <c r="D21" s="198">
        <f t="shared" si="16"/>
        <v>263212</v>
      </c>
      <c r="E21" s="198">
        <f t="shared" si="16"/>
        <v>281928</v>
      </c>
      <c r="F21" s="198">
        <f t="shared" si="16"/>
        <v>261634</v>
      </c>
      <c r="G21" s="198">
        <f t="shared" si="16"/>
        <v>278593</v>
      </c>
      <c r="H21" s="198">
        <f t="shared" si="16"/>
        <v>322332</v>
      </c>
      <c r="I21" s="198">
        <f t="shared" si="16"/>
        <v>318684</v>
      </c>
      <c r="J21" s="198">
        <f t="shared" ref="J21:N21" si="17">J23+J28+J30+J32+J34</f>
        <v>324742</v>
      </c>
      <c r="K21" s="198">
        <f t="shared" si="17"/>
        <v>337738</v>
      </c>
      <c r="L21" s="198">
        <f t="shared" si="17"/>
        <v>368056</v>
      </c>
      <c r="M21" s="198">
        <f t="shared" si="17"/>
        <v>390534</v>
      </c>
      <c r="N21" s="198">
        <f t="shared" si="17"/>
        <v>396697</v>
      </c>
      <c r="O21" s="198">
        <f>O23+O28+O30+O32+O34</f>
        <v>385929</v>
      </c>
      <c r="P21" s="198">
        <f>P23+P28+P30+P32+P34</f>
        <v>369652.3</v>
      </c>
      <c r="Q21" s="13">
        <f t="shared" ref="Q21:R21" si="18">Q23+Q28+Q30+Q32+Q34</f>
        <v>391610.9</v>
      </c>
      <c r="R21" s="13">
        <f t="shared" si="18"/>
        <v>619155.30000000005</v>
      </c>
      <c r="S21" s="348">
        <f t="shared" ref="S21:T21" si="19">S23+S28+S30+S32+S34</f>
        <v>632585.1</v>
      </c>
      <c r="T21" s="348">
        <f t="shared" si="19"/>
        <v>647254.10000000009</v>
      </c>
      <c r="U21" s="348">
        <f t="shared" ref="U21" si="20">U23+U28+U30+U32+U34</f>
        <v>644308.19999999995</v>
      </c>
    </row>
    <row r="22" spans="1:21">
      <c r="A22" s="44"/>
      <c r="B22" s="45"/>
      <c r="C22" s="229"/>
      <c r="D22" s="230"/>
      <c r="E22" s="229"/>
      <c r="F22" s="229"/>
      <c r="G22" s="24"/>
      <c r="H22" s="196"/>
      <c r="I22" s="196"/>
      <c r="J22" s="235"/>
      <c r="K22" s="235"/>
      <c r="L22" s="196"/>
      <c r="M22" s="196"/>
      <c r="N22" s="196"/>
      <c r="O22" s="196"/>
      <c r="P22" s="196"/>
      <c r="Q22" s="18"/>
      <c r="R22" s="18"/>
      <c r="S22" s="298"/>
      <c r="T22" s="298"/>
      <c r="U22" s="298"/>
    </row>
    <row r="23" spans="1:21">
      <c r="A23" s="46">
        <v>20</v>
      </c>
      <c r="B23" s="47" t="s">
        <v>19</v>
      </c>
      <c r="C23" s="198">
        <f t="shared" ref="C23:I23" si="21">C24+C25+C26</f>
        <v>263301</v>
      </c>
      <c r="D23" s="198">
        <f t="shared" si="21"/>
        <v>246974</v>
      </c>
      <c r="E23" s="198">
        <f t="shared" si="21"/>
        <v>261882</v>
      </c>
      <c r="F23" s="198">
        <f t="shared" si="21"/>
        <v>239569</v>
      </c>
      <c r="G23" s="198">
        <f t="shared" si="21"/>
        <v>251740</v>
      </c>
      <c r="H23" s="198">
        <f t="shared" si="21"/>
        <v>272263</v>
      </c>
      <c r="I23" s="198">
        <f t="shared" si="21"/>
        <v>245035</v>
      </c>
      <c r="J23" s="198">
        <f t="shared" ref="J23:N23" si="22">J24+J25+J26</f>
        <v>224268</v>
      </c>
      <c r="K23" s="198">
        <f t="shared" si="22"/>
        <v>213356</v>
      </c>
      <c r="L23" s="198">
        <f t="shared" si="22"/>
        <v>238540</v>
      </c>
      <c r="M23" s="198">
        <f t="shared" si="22"/>
        <v>254803</v>
      </c>
      <c r="N23" s="198">
        <f t="shared" si="22"/>
        <v>250699</v>
      </c>
      <c r="O23" s="198">
        <f>O24+O25+O26</f>
        <v>252855</v>
      </c>
      <c r="P23" s="198">
        <f>P24+P25+P26</f>
        <v>253511</v>
      </c>
      <c r="Q23" s="13">
        <f t="shared" ref="Q23:R23" si="23">Q24+Q25+Q26</f>
        <v>277162.5</v>
      </c>
      <c r="R23" s="13">
        <f t="shared" si="23"/>
        <v>285855.60000000003</v>
      </c>
      <c r="S23" s="348">
        <f t="shared" ref="S23:T23" si="24">S24+S25+S26</f>
        <v>308907.09999999998</v>
      </c>
      <c r="T23" s="348">
        <f t="shared" si="24"/>
        <v>335971.60000000003</v>
      </c>
      <c r="U23" s="348">
        <f t="shared" ref="U23" si="25">U24+U25+U26</f>
        <v>337361.2</v>
      </c>
    </row>
    <row r="24" spans="1:21">
      <c r="A24" s="48" t="s">
        <v>20</v>
      </c>
      <c r="B24" s="49" t="s">
        <v>21</v>
      </c>
      <c r="C24" s="231">
        <v>50507</v>
      </c>
      <c r="D24" s="231">
        <f>37840</f>
        <v>37840</v>
      </c>
      <c r="E24" s="231">
        <v>43205</v>
      </c>
      <c r="F24" s="231">
        <f>45205</f>
        <v>45205</v>
      </c>
      <c r="G24" s="231">
        <f>48066</f>
        <v>48066</v>
      </c>
      <c r="H24" s="231">
        <f>54239+2961</f>
        <v>57200</v>
      </c>
      <c r="I24" s="231">
        <f>55908+1388</f>
        <v>57296</v>
      </c>
      <c r="J24" s="213">
        <f>55372+700</f>
        <v>56072</v>
      </c>
      <c r="K24" s="213">
        <v>50040</v>
      </c>
      <c r="L24" s="196">
        <f>82751+33</f>
        <v>82784</v>
      </c>
      <c r="M24" s="196">
        <f>83656+20000</f>
        <v>103656</v>
      </c>
      <c r="N24" s="298">
        <f>98265+23000</f>
        <v>121265</v>
      </c>
      <c r="O24" s="298">
        <v>98617</v>
      </c>
      <c r="P24" s="298">
        <v>114485.6</v>
      </c>
      <c r="Q24" s="302">
        <v>108934.8</v>
      </c>
      <c r="R24" s="302">
        <v>90281.8</v>
      </c>
      <c r="S24" s="298">
        <v>119632</v>
      </c>
      <c r="T24" s="298">
        <v>157311.30000000002</v>
      </c>
      <c r="U24" s="298">
        <v>171764.6</v>
      </c>
    </row>
    <row r="25" spans="1:21">
      <c r="A25" s="50">
        <v>202</v>
      </c>
      <c r="B25" s="51" t="s">
        <v>22</v>
      </c>
      <c r="C25" s="231">
        <v>206977</v>
      </c>
      <c r="D25" s="231">
        <v>204681</v>
      </c>
      <c r="E25" s="231">
        <v>214850</v>
      </c>
      <c r="F25" s="231">
        <v>191076</v>
      </c>
      <c r="G25" s="231">
        <v>199904</v>
      </c>
      <c r="H25" s="231">
        <v>211918</v>
      </c>
      <c r="I25" s="231">
        <f>185104</f>
        <v>185104</v>
      </c>
      <c r="J25" s="238">
        <v>163058</v>
      </c>
      <c r="K25" s="238">
        <v>157952</v>
      </c>
      <c r="L25" s="199">
        <v>147812</v>
      </c>
      <c r="M25" s="199">
        <f>141666</f>
        <v>141666</v>
      </c>
      <c r="N25" s="300">
        <f>119328</f>
        <v>119328</v>
      </c>
      <c r="O25" s="300">
        <v>144029</v>
      </c>
      <c r="P25" s="300">
        <v>127220.5</v>
      </c>
      <c r="Q25" s="302">
        <v>155924.29999999999</v>
      </c>
      <c r="R25" s="302">
        <v>175292.9</v>
      </c>
      <c r="S25" s="300">
        <v>167628.1</v>
      </c>
      <c r="T25" s="300">
        <v>168163.4</v>
      </c>
      <c r="U25" s="300">
        <v>156195.4</v>
      </c>
    </row>
    <row r="26" spans="1:21">
      <c r="A26" s="50">
        <v>205</v>
      </c>
      <c r="B26" s="52" t="s">
        <v>23</v>
      </c>
      <c r="C26" s="231">
        <v>5817</v>
      </c>
      <c r="D26" s="231">
        <v>4453</v>
      </c>
      <c r="E26" s="231">
        <v>3827</v>
      </c>
      <c r="F26" s="231">
        <v>3288</v>
      </c>
      <c r="G26" s="231">
        <v>3770</v>
      </c>
      <c r="H26" s="231">
        <v>3145</v>
      </c>
      <c r="I26" s="231">
        <v>2635</v>
      </c>
      <c r="J26" s="238">
        <v>5138</v>
      </c>
      <c r="K26" s="238">
        <v>5364</v>
      </c>
      <c r="L26" s="196">
        <v>7944</v>
      </c>
      <c r="M26" s="196">
        <v>9481</v>
      </c>
      <c r="N26" s="298">
        <v>10106</v>
      </c>
      <c r="O26" s="298">
        <v>10209</v>
      </c>
      <c r="P26" s="298">
        <v>11804.9</v>
      </c>
      <c r="Q26" s="302">
        <v>12303.4</v>
      </c>
      <c r="R26" s="302">
        <v>20280.900000000001</v>
      </c>
      <c r="S26" s="298">
        <v>21647</v>
      </c>
      <c r="T26" s="298">
        <v>10496.9</v>
      </c>
      <c r="U26" s="298">
        <v>9401.2000000000007</v>
      </c>
    </row>
    <row r="27" spans="1:21">
      <c r="A27" s="35"/>
      <c r="B27" s="36"/>
      <c r="C27" s="232"/>
      <c r="D27" s="233"/>
      <c r="E27" s="232"/>
      <c r="F27" s="232"/>
      <c r="G27" s="238"/>
      <c r="H27" s="200"/>
      <c r="I27" s="234"/>
      <c r="J27" s="238"/>
      <c r="K27" s="238"/>
      <c r="L27" s="200"/>
      <c r="M27" s="200"/>
      <c r="N27" s="305"/>
      <c r="O27" s="305"/>
      <c r="P27" s="305"/>
      <c r="Q27" s="308"/>
      <c r="R27" s="308"/>
      <c r="S27" s="305"/>
      <c r="T27" s="305"/>
      <c r="U27" s="305"/>
    </row>
    <row r="28" spans="1:21">
      <c r="A28" s="11">
        <v>23</v>
      </c>
      <c r="B28" s="38" t="s">
        <v>24</v>
      </c>
      <c r="C28" s="198">
        <v>0</v>
      </c>
      <c r="D28" s="198">
        <v>0</v>
      </c>
      <c r="E28" s="198">
        <v>0</v>
      </c>
      <c r="F28" s="198">
        <v>0</v>
      </c>
      <c r="G28" s="198">
        <v>0</v>
      </c>
      <c r="H28" s="198">
        <v>0</v>
      </c>
      <c r="I28" s="198">
        <v>0</v>
      </c>
      <c r="J28" s="198">
        <v>0</v>
      </c>
      <c r="K28" s="198">
        <v>0</v>
      </c>
      <c r="L28" s="198">
        <v>0</v>
      </c>
      <c r="M28" s="198">
        <v>0</v>
      </c>
      <c r="N28" s="313">
        <v>0</v>
      </c>
      <c r="O28" s="313">
        <v>0</v>
      </c>
      <c r="P28" s="313">
        <v>0</v>
      </c>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135</v>
      </c>
      <c r="D30" s="198">
        <v>1382</v>
      </c>
      <c r="E30" s="198">
        <v>1503</v>
      </c>
      <c r="F30" s="198">
        <v>1410</v>
      </c>
      <c r="G30" s="198">
        <v>1366</v>
      </c>
      <c r="H30" s="198">
        <v>4720</v>
      </c>
      <c r="I30" s="198">
        <v>5245</v>
      </c>
      <c r="J30" s="198">
        <v>7212</v>
      </c>
      <c r="K30" s="198">
        <v>5301</v>
      </c>
      <c r="L30" s="198">
        <v>0</v>
      </c>
      <c r="M30" s="198">
        <f>550+14450</f>
        <v>15000</v>
      </c>
      <c r="N30" s="313">
        <f>590+14010</f>
        <v>14600</v>
      </c>
      <c r="O30" s="313">
        <v>14250</v>
      </c>
      <c r="P30" s="313">
        <v>14250</v>
      </c>
      <c r="Q30" s="309">
        <v>14300</v>
      </c>
      <c r="R30" s="309">
        <v>13700</v>
      </c>
      <c r="S30" s="388">
        <v>12900</v>
      </c>
      <c r="T30" s="388">
        <v>12930</v>
      </c>
      <c r="U30" s="388">
        <v>12030</v>
      </c>
    </row>
    <row r="31" spans="1:21">
      <c r="A31" s="44"/>
      <c r="B31" s="45"/>
      <c r="C31" s="231"/>
      <c r="D31" s="230"/>
      <c r="E31" s="229"/>
      <c r="F31" s="229"/>
      <c r="G31" s="198"/>
      <c r="H31" s="196"/>
      <c r="I31" s="196"/>
      <c r="J31" s="196"/>
      <c r="K31" s="196"/>
      <c r="L31" s="196"/>
      <c r="M31" s="196"/>
      <c r="N31" s="298"/>
      <c r="O31" s="298"/>
      <c r="P31" s="298"/>
      <c r="Q31" s="311"/>
      <c r="R31" s="311"/>
      <c r="S31" s="298"/>
      <c r="T31" s="298"/>
      <c r="U31" s="298"/>
    </row>
    <row r="32" spans="1:21">
      <c r="A32" s="54">
        <v>28</v>
      </c>
      <c r="B32" s="47" t="s">
        <v>26</v>
      </c>
      <c r="C32" s="198">
        <v>5745</v>
      </c>
      <c r="D32" s="198">
        <v>9575</v>
      </c>
      <c r="E32" s="198">
        <v>7160</v>
      </c>
      <c r="F32" s="198">
        <v>5674</v>
      </c>
      <c r="G32" s="198">
        <v>5352</v>
      </c>
      <c r="H32" s="198">
        <v>5646</v>
      </c>
      <c r="I32" s="198">
        <v>6540</v>
      </c>
      <c r="J32" s="198">
        <v>9504</v>
      </c>
      <c r="K32" s="198">
        <v>9872</v>
      </c>
      <c r="L32" s="198">
        <v>10703</v>
      </c>
      <c r="M32" s="198">
        <v>849</v>
      </c>
      <c r="N32" s="313">
        <v>1024</v>
      </c>
      <c r="O32" s="313">
        <v>1195</v>
      </c>
      <c r="P32" s="313">
        <v>1032.3</v>
      </c>
      <c r="Q32" s="309">
        <v>1134.4000000000001</v>
      </c>
      <c r="R32" s="309">
        <v>1029.7</v>
      </c>
      <c r="S32" s="388">
        <v>914.5</v>
      </c>
      <c r="T32" s="388">
        <v>909</v>
      </c>
      <c r="U32" s="388">
        <v>837</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0</v>
      </c>
      <c r="D34" s="198">
        <v>5281</v>
      </c>
      <c r="E34" s="198">
        <v>11383</v>
      </c>
      <c r="F34" s="198">
        <f>11383+3598</f>
        <v>14981</v>
      </c>
      <c r="G34" s="198">
        <f>14981+5154</f>
        <v>20135</v>
      </c>
      <c r="H34" s="198">
        <f>20135+19568</f>
        <v>39703</v>
      </c>
      <c r="I34" s="198">
        <f>47203+14661</f>
        <v>61864</v>
      </c>
      <c r="J34" s="198">
        <f>72585+11173</f>
        <v>83758</v>
      </c>
      <c r="K34" s="198">
        <v>109209</v>
      </c>
      <c r="L34" s="198">
        <v>118813</v>
      </c>
      <c r="M34" s="198">
        <v>119882</v>
      </c>
      <c r="N34" s="313">
        <v>130374</v>
      </c>
      <c r="O34" s="313">
        <v>117629</v>
      </c>
      <c r="P34" s="313">
        <v>100859</v>
      </c>
      <c r="Q34" s="309">
        <v>99014</v>
      </c>
      <c r="R34" s="309">
        <v>318570</v>
      </c>
      <c r="S34" s="388">
        <v>309863.5</v>
      </c>
      <c r="T34" s="388">
        <v>297443.5</v>
      </c>
      <c r="U34" s="388">
        <v>294080</v>
      </c>
    </row>
    <row r="35" spans="1:21">
      <c r="A35" s="41"/>
      <c r="B35" s="42"/>
      <c r="C35" s="24"/>
      <c r="D35" s="244"/>
      <c r="E35" s="24"/>
      <c r="F35" s="24"/>
      <c r="G35" s="213"/>
      <c r="H35" s="213"/>
      <c r="I35" s="213"/>
      <c r="J35" s="213"/>
      <c r="K35" s="213"/>
      <c r="L35" s="167"/>
      <c r="M35" s="167"/>
      <c r="N35" s="167"/>
      <c r="O35" s="167"/>
      <c r="P35" s="167"/>
      <c r="Q35" s="311"/>
      <c r="R35" s="311"/>
      <c r="S35" s="360"/>
      <c r="T35" s="360"/>
      <c r="U35" s="360"/>
    </row>
    <row r="36" spans="1:21">
      <c r="A36" s="170"/>
      <c r="B36" s="60"/>
      <c r="C36" s="174"/>
      <c r="D36" s="245"/>
      <c r="E36" s="174"/>
      <c r="F36" s="246"/>
      <c r="G36" s="174"/>
      <c r="H36" s="174"/>
      <c r="I36" s="174"/>
      <c r="J36" s="155"/>
      <c r="K36" s="155"/>
      <c r="L36" s="225"/>
      <c r="M36" s="225"/>
      <c r="N36" s="225"/>
      <c r="O36" s="225"/>
      <c r="P36" s="225"/>
      <c r="Q36" s="341"/>
      <c r="R36" s="341"/>
      <c r="S36" s="362"/>
      <c r="T36" s="362"/>
      <c r="U36" s="362"/>
    </row>
    <row r="37" spans="1:21">
      <c r="A37" s="294" t="s">
        <v>14</v>
      </c>
      <c r="B37" s="66" t="s">
        <v>105</v>
      </c>
      <c r="C37" s="65"/>
      <c r="D37" s="65"/>
      <c r="E37" s="65"/>
      <c r="F37" s="67"/>
      <c r="G37" s="67"/>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enableFormatConditionsCalculation="0">
    <tabColor rgb="FF00B050"/>
  </sheetPr>
  <dimension ref="A1:U90"/>
  <sheetViews>
    <sheetView view="pageLayout" zoomScaleNormal="100" workbookViewId="0">
      <selection activeCell="T81" sqref="T81"/>
    </sheetView>
  </sheetViews>
  <sheetFormatPr baseColWidth="10" defaultColWidth="11.42578125" defaultRowHeight="12.75"/>
  <cols>
    <col min="1" max="1" width="8.42578125" style="75" customWidth="1"/>
    <col min="2" max="2" width="42.7109375"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66</v>
      </c>
      <c r="C2" s="79"/>
      <c r="D2" s="79"/>
      <c r="E2" s="79"/>
      <c r="F2" s="79"/>
      <c r="G2" s="79"/>
      <c r="H2" s="79"/>
      <c r="I2" s="79"/>
      <c r="J2" s="349"/>
      <c r="K2" s="79"/>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I4" si="0">C6+C11+C16+C18</f>
        <v>243613</v>
      </c>
      <c r="D4" s="228">
        <f t="shared" si="0"/>
        <v>227784</v>
      </c>
      <c r="E4" s="228">
        <f t="shared" si="0"/>
        <v>220178</v>
      </c>
      <c r="F4" s="228">
        <f t="shared" si="0"/>
        <v>212160</v>
      </c>
      <c r="G4" s="228">
        <f t="shared" si="0"/>
        <v>197909</v>
      </c>
      <c r="H4" s="228">
        <f t="shared" si="0"/>
        <v>353872</v>
      </c>
      <c r="I4" s="198">
        <f t="shared" si="0"/>
        <v>349662</v>
      </c>
      <c r="J4" s="214">
        <f t="shared" ref="J4:O4" si="1">J6+J11+J16+J18</f>
        <v>359747</v>
      </c>
      <c r="K4" s="198">
        <f t="shared" si="1"/>
        <v>338294</v>
      </c>
      <c r="L4" s="198">
        <f t="shared" si="1"/>
        <v>348589</v>
      </c>
      <c r="M4" s="198">
        <f t="shared" si="1"/>
        <v>331200</v>
      </c>
      <c r="N4" s="198">
        <f t="shared" si="1"/>
        <v>1516851.66289</v>
      </c>
      <c r="O4" s="198">
        <f t="shared" si="1"/>
        <v>300140</v>
      </c>
      <c r="P4" s="198">
        <f t="shared" ref="P4:Q4" si="2">P6+P11+P16+P18</f>
        <v>302220</v>
      </c>
      <c r="Q4" s="13">
        <f t="shared" si="2"/>
        <v>308888</v>
      </c>
      <c r="R4" s="13">
        <f t="shared" ref="R4" si="3">R6+R11+R16+R18</f>
        <v>303663</v>
      </c>
      <c r="S4" s="348">
        <f t="shared" ref="S4:T4" si="4">S6+S11+S16+S18</f>
        <v>287800</v>
      </c>
      <c r="T4" s="348">
        <f t="shared" si="4"/>
        <v>294375</v>
      </c>
      <c r="U4" s="348">
        <f t="shared" ref="U4" si="5">U6+U11+U16+U18</f>
        <v>173882.69999999995</v>
      </c>
    </row>
    <row r="5" spans="1:21">
      <c r="A5" s="14"/>
      <c r="B5" s="15"/>
      <c r="C5" s="229"/>
      <c r="D5" s="230"/>
      <c r="E5" s="229"/>
      <c r="F5" s="229"/>
      <c r="G5" s="27"/>
      <c r="H5" s="196"/>
      <c r="I5" s="196"/>
      <c r="J5" s="196"/>
      <c r="K5" s="196"/>
      <c r="L5" s="196"/>
      <c r="M5" s="196"/>
      <c r="N5" s="196"/>
      <c r="O5" s="196"/>
      <c r="P5" s="196"/>
      <c r="Q5" s="18"/>
      <c r="R5" s="18"/>
      <c r="S5" s="298"/>
      <c r="T5" s="298"/>
      <c r="U5" s="298"/>
    </row>
    <row r="6" spans="1:21">
      <c r="A6" s="19">
        <v>10</v>
      </c>
      <c r="B6" s="12" t="s">
        <v>6</v>
      </c>
      <c r="C6" s="198">
        <f t="shared" ref="C6:I6" si="6">C7+C8+C9</f>
        <v>87012</v>
      </c>
      <c r="D6" s="198">
        <f t="shared" si="6"/>
        <v>78102</v>
      </c>
      <c r="E6" s="198">
        <f t="shared" si="6"/>
        <v>80711</v>
      </c>
      <c r="F6" s="198">
        <f t="shared" si="6"/>
        <v>75569</v>
      </c>
      <c r="G6" s="198">
        <f t="shared" si="6"/>
        <v>68635</v>
      </c>
      <c r="H6" s="198">
        <f t="shared" si="6"/>
        <v>221981</v>
      </c>
      <c r="I6" s="198">
        <f t="shared" si="6"/>
        <v>213895</v>
      </c>
      <c r="J6" s="198">
        <f t="shared" ref="J6:N6" si="7">J7+J8+J9</f>
        <v>227256</v>
      </c>
      <c r="K6" s="198">
        <f t="shared" si="7"/>
        <v>214885</v>
      </c>
      <c r="L6" s="198">
        <f t="shared" si="7"/>
        <v>215454</v>
      </c>
      <c r="M6" s="198">
        <f t="shared" si="7"/>
        <v>179917</v>
      </c>
      <c r="N6" s="198">
        <f t="shared" si="7"/>
        <v>1355788.66289</v>
      </c>
      <c r="O6" s="198">
        <f t="shared" ref="O6:T6" si="8">O7+O8+O9</f>
        <v>187284</v>
      </c>
      <c r="P6" s="198">
        <f t="shared" si="8"/>
        <v>174935</v>
      </c>
      <c r="Q6" s="13">
        <f t="shared" si="8"/>
        <v>173549</v>
      </c>
      <c r="R6" s="13">
        <f t="shared" si="8"/>
        <v>175078</v>
      </c>
      <c r="S6" s="348">
        <f t="shared" si="8"/>
        <v>157475</v>
      </c>
      <c r="T6" s="348">
        <f t="shared" si="8"/>
        <v>173162</v>
      </c>
      <c r="U6" s="348">
        <f t="shared" ref="U6" si="9">U7+U8+U9</f>
        <v>133071.99999999997</v>
      </c>
    </row>
    <row r="7" spans="1:21">
      <c r="A7" s="20" t="s">
        <v>7</v>
      </c>
      <c r="B7" s="21" t="s">
        <v>8</v>
      </c>
      <c r="C7" s="231">
        <f>7283+58235</f>
        <v>65518</v>
      </c>
      <c r="D7" s="231">
        <f>101+55673</f>
        <v>55774</v>
      </c>
      <c r="E7" s="231">
        <f>6609+52527</f>
        <v>59136</v>
      </c>
      <c r="F7" s="231">
        <f>7063+48762</f>
        <v>55825</v>
      </c>
      <c r="G7" s="231">
        <f>3215+43913+1</f>
        <v>47129</v>
      </c>
      <c r="H7" s="231">
        <f>7977+77093</f>
        <v>85070</v>
      </c>
      <c r="I7" s="231">
        <f>10700+72276-1</f>
        <v>82975</v>
      </c>
      <c r="J7" s="196">
        <f>193+84465</f>
        <v>84658</v>
      </c>
      <c r="K7" s="231">
        <f>11069+79771</f>
        <v>90840</v>
      </c>
      <c r="L7" s="196">
        <f>10436+73621</f>
        <v>84057</v>
      </c>
      <c r="M7" s="196">
        <v>56618</v>
      </c>
      <c r="N7" s="298">
        <v>1252114.66289</v>
      </c>
      <c r="O7" s="298">
        <v>84513</v>
      </c>
      <c r="P7" s="298">
        <v>79469</v>
      </c>
      <c r="Q7" s="302">
        <v>93009</v>
      </c>
      <c r="R7" s="302">
        <v>100631</v>
      </c>
      <c r="S7" s="298">
        <v>80855</v>
      </c>
      <c r="T7" s="298">
        <v>109083</v>
      </c>
      <c r="U7" s="298">
        <v>96929.299999999988</v>
      </c>
    </row>
    <row r="8" spans="1:21">
      <c r="A8" s="25">
        <v>102</v>
      </c>
      <c r="B8" s="26" t="s">
        <v>9</v>
      </c>
      <c r="C8" s="231">
        <v>20607</v>
      </c>
      <c r="D8" s="231">
        <v>20574</v>
      </c>
      <c r="E8" s="231">
        <v>19164</v>
      </c>
      <c r="F8" s="231">
        <v>17083</v>
      </c>
      <c r="G8" s="231">
        <v>17104</v>
      </c>
      <c r="H8" s="231">
        <v>134752</v>
      </c>
      <c r="I8" s="231">
        <v>126663</v>
      </c>
      <c r="J8" s="199">
        <v>137101</v>
      </c>
      <c r="K8" s="231">
        <v>118802</v>
      </c>
      <c r="L8" s="199">
        <v>122828</v>
      </c>
      <c r="M8" s="199">
        <v>118680</v>
      </c>
      <c r="N8" s="300">
        <v>99570</v>
      </c>
      <c r="O8" s="300">
        <v>97735</v>
      </c>
      <c r="P8" s="300">
        <v>90270</v>
      </c>
      <c r="Q8" s="302">
        <v>73651</v>
      </c>
      <c r="R8" s="302">
        <v>63950</v>
      </c>
      <c r="S8" s="300">
        <v>64253</v>
      </c>
      <c r="T8" s="300">
        <v>54492</v>
      </c>
      <c r="U8" s="300">
        <v>35230.299999999996</v>
      </c>
    </row>
    <row r="9" spans="1:21">
      <c r="A9" s="25">
        <v>103</v>
      </c>
      <c r="B9" s="26" t="s">
        <v>10</v>
      </c>
      <c r="C9" s="231">
        <v>887</v>
      </c>
      <c r="D9" s="231">
        <v>1754</v>
      </c>
      <c r="E9" s="231">
        <v>2411</v>
      </c>
      <c r="F9" s="231">
        <v>2661</v>
      </c>
      <c r="G9" s="231">
        <v>4402</v>
      </c>
      <c r="H9" s="231">
        <v>2159</v>
      </c>
      <c r="I9" s="231">
        <v>4257</v>
      </c>
      <c r="J9" s="196">
        <v>5497</v>
      </c>
      <c r="K9" s="231">
        <v>5243</v>
      </c>
      <c r="L9" s="196">
        <v>8569</v>
      </c>
      <c r="M9" s="196">
        <v>4619</v>
      </c>
      <c r="N9" s="298">
        <v>4104</v>
      </c>
      <c r="O9" s="298">
        <v>5036</v>
      </c>
      <c r="P9" s="298">
        <v>5196</v>
      </c>
      <c r="Q9" s="302">
        <v>6889</v>
      </c>
      <c r="R9" s="302">
        <v>10497</v>
      </c>
      <c r="S9" s="298">
        <v>12367</v>
      </c>
      <c r="T9" s="298">
        <v>9587</v>
      </c>
      <c r="U9" s="298">
        <v>912.4</v>
      </c>
    </row>
    <row r="10" spans="1:21">
      <c r="A10" s="28"/>
      <c r="B10" s="29"/>
      <c r="C10" s="232"/>
      <c r="D10" s="233"/>
      <c r="E10" s="232"/>
      <c r="F10" s="232"/>
      <c r="G10" s="27"/>
      <c r="H10" s="196"/>
      <c r="I10" s="196"/>
      <c r="J10" s="196"/>
      <c r="K10" s="196"/>
      <c r="L10" s="196"/>
      <c r="M10" s="196"/>
      <c r="N10" s="196"/>
      <c r="O10" s="196"/>
      <c r="P10" s="196"/>
      <c r="Q10" s="18"/>
      <c r="R10" s="18"/>
      <c r="S10" s="298"/>
      <c r="T10" s="298"/>
      <c r="U10" s="298"/>
    </row>
    <row r="11" spans="1:21">
      <c r="A11" s="19">
        <v>11</v>
      </c>
      <c r="B11" s="12" t="s">
        <v>11</v>
      </c>
      <c r="C11" s="198">
        <f t="shared" ref="C11:I11" si="10">C12+C13+C14</f>
        <v>152433</v>
      </c>
      <c r="D11" s="198">
        <f t="shared" si="10"/>
        <v>147765</v>
      </c>
      <c r="E11" s="198">
        <f t="shared" si="10"/>
        <v>139467</v>
      </c>
      <c r="F11" s="198">
        <f t="shared" si="10"/>
        <v>136591</v>
      </c>
      <c r="G11" s="198">
        <f t="shared" si="10"/>
        <v>128843</v>
      </c>
      <c r="H11" s="198">
        <f t="shared" si="10"/>
        <v>131551</v>
      </c>
      <c r="I11" s="198">
        <f t="shared" si="10"/>
        <v>129152</v>
      </c>
      <c r="J11" s="198">
        <f t="shared" ref="J11:N11" si="11">J12+J13+J14</f>
        <v>107301</v>
      </c>
      <c r="K11" s="198">
        <f t="shared" si="11"/>
        <v>84649</v>
      </c>
      <c r="L11" s="198">
        <f t="shared" si="11"/>
        <v>98175</v>
      </c>
      <c r="M11" s="198">
        <f t="shared" si="11"/>
        <v>118403</v>
      </c>
      <c r="N11" s="198">
        <f t="shared" si="11"/>
        <v>135083</v>
      </c>
      <c r="O11" s="198">
        <f>O12+O13+O14</f>
        <v>112856</v>
      </c>
      <c r="P11" s="198">
        <f>P12+P13+P14</f>
        <v>127285</v>
      </c>
      <c r="Q11" s="13">
        <f t="shared" ref="Q11" si="12">Q12+Q13+Q14</f>
        <v>135339</v>
      </c>
      <c r="R11" s="13">
        <f t="shared" ref="R11" si="13">R12+R13+R14</f>
        <v>128585</v>
      </c>
      <c r="S11" s="348">
        <f t="shared" ref="S11:T11" si="14">S12+S13+S14</f>
        <v>130325</v>
      </c>
      <c r="T11" s="348">
        <f t="shared" si="14"/>
        <v>121213</v>
      </c>
      <c r="U11" s="348">
        <f t="shared" ref="U11" si="15">U12+U13+U14</f>
        <v>40810.699999999997</v>
      </c>
    </row>
    <row r="12" spans="1:21">
      <c r="A12" s="32">
        <v>114</v>
      </c>
      <c r="B12" s="21" t="s">
        <v>12</v>
      </c>
      <c r="C12" s="231">
        <v>60546</v>
      </c>
      <c r="D12" s="231">
        <v>58700</v>
      </c>
      <c r="E12" s="231">
        <v>54921</v>
      </c>
      <c r="F12" s="231">
        <v>50416</v>
      </c>
      <c r="G12" s="231">
        <v>43083</v>
      </c>
      <c r="H12" s="231">
        <v>43952</v>
      </c>
      <c r="I12" s="231">
        <v>40771</v>
      </c>
      <c r="J12" s="196">
        <v>37359</v>
      </c>
      <c r="K12" s="231">
        <v>22099</v>
      </c>
      <c r="L12" s="196">
        <v>25923</v>
      </c>
      <c r="M12" s="196">
        <v>38717</v>
      </c>
      <c r="N12" s="298">
        <v>49580</v>
      </c>
      <c r="O12" s="298">
        <v>53928</v>
      </c>
      <c r="P12" s="298">
        <v>66533</v>
      </c>
      <c r="Q12" s="302">
        <v>73013</v>
      </c>
      <c r="R12" s="302">
        <v>69258</v>
      </c>
      <c r="S12" s="298">
        <v>74517</v>
      </c>
      <c r="T12" s="298">
        <v>66969</v>
      </c>
      <c r="U12" s="298">
        <v>6351.6</v>
      </c>
    </row>
    <row r="13" spans="1:21">
      <c r="A13" s="25">
        <v>115</v>
      </c>
      <c r="B13" s="26" t="s">
        <v>13</v>
      </c>
      <c r="C13" s="231">
        <v>77909</v>
      </c>
      <c r="D13" s="231">
        <v>72370</v>
      </c>
      <c r="E13" s="231">
        <v>66425</v>
      </c>
      <c r="F13" s="231">
        <v>67002</v>
      </c>
      <c r="G13" s="231">
        <v>65741</v>
      </c>
      <c r="H13" s="231">
        <v>67335</v>
      </c>
      <c r="I13" s="231">
        <v>64522</v>
      </c>
      <c r="J13" s="199">
        <v>64122</v>
      </c>
      <c r="K13" s="231">
        <v>62550</v>
      </c>
      <c r="L13" s="199">
        <v>63280</v>
      </c>
      <c r="M13" s="199">
        <v>62052</v>
      </c>
      <c r="N13" s="300">
        <v>62206</v>
      </c>
      <c r="O13" s="300">
        <v>29898</v>
      </c>
      <c r="P13" s="300">
        <v>29473</v>
      </c>
      <c r="Q13" s="302">
        <v>28609</v>
      </c>
      <c r="R13" s="302">
        <v>28343</v>
      </c>
      <c r="S13" s="300">
        <v>26757</v>
      </c>
      <c r="T13" s="300">
        <v>26371</v>
      </c>
      <c r="U13" s="300">
        <v>25541.899999999998</v>
      </c>
    </row>
    <row r="14" spans="1:21">
      <c r="A14" s="33" t="s">
        <v>14</v>
      </c>
      <c r="B14" s="34" t="s">
        <v>15</v>
      </c>
      <c r="C14" s="231">
        <v>13978</v>
      </c>
      <c r="D14" s="231">
        <v>16695</v>
      </c>
      <c r="E14" s="231">
        <v>18121</v>
      </c>
      <c r="F14" s="231">
        <v>19173</v>
      </c>
      <c r="G14" s="231">
        <v>20019</v>
      </c>
      <c r="H14" s="231">
        <v>20264</v>
      </c>
      <c r="I14" s="231">
        <v>23859</v>
      </c>
      <c r="J14" s="196">
        <v>5820</v>
      </c>
      <c r="K14" s="231">
        <v>0</v>
      </c>
      <c r="L14" s="196">
        <v>8972</v>
      </c>
      <c r="M14" s="196">
        <v>17634</v>
      </c>
      <c r="N14" s="298">
        <v>23297</v>
      </c>
      <c r="O14" s="298">
        <v>29030</v>
      </c>
      <c r="P14" s="298">
        <v>31279</v>
      </c>
      <c r="Q14" s="302">
        <v>33717</v>
      </c>
      <c r="R14" s="302">
        <v>30984</v>
      </c>
      <c r="S14" s="298">
        <v>29051</v>
      </c>
      <c r="T14" s="298">
        <v>27873</v>
      </c>
      <c r="U14" s="298">
        <v>8917.2000000000007</v>
      </c>
    </row>
    <row r="15" spans="1:21">
      <c r="A15" s="35"/>
      <c r="B15" s="36"/>
      <c r="C15" s="232"/>
      <c r="D15" s="233"/>
      <c r="E15" s="232"/>
      <c r="F15" s="232"/>
      <c r="G15" s="27"/>
      <c r="H15" s="200"/>
      <c r="I15" s="234"/>
      <c r="J15" s="200"/>
      <c r="K15" s="234"/>
      <c r="L15" s="200"/>
      <c r="M15" s="200"/>
      <c r="N15" s="305"/>
      <c r="O15" s="305"/>
      <c r="P15" s="305"/>
      <c r="Q15" s="308"/>
      <c r="R15" s="308"/>
      <c r="S15" s="305"/>
      <c r="T15" s="305"/>
      <c r="U15" s="305"/>
    </row>
    <row r="16" spans="1:21">
      <c r="A16" s="11">
        <v>12</v>
      </c>
      <c r="B16" s="38" t="s">
        <v>16</v>
      </c>
      <c r="C16" s="198"/>
      <c r="D16" s="198"/>
      <c r="E16" s="198"/>
      <c r="F16" s="198"/>
      <c r="G16" s="198">
        <v>431</v>
      </c>
      <c r="H16" s="198">
        <v>340</v>
      </c>
      <c r="I16" s="198">
        <v>6615</v>
      </c>
      <c r="J16" s="198">
        <v>25190</v>
      </c>
      <c r="K16" s="198">
        <v>38760</v>
      </c>
      <c r="L16" s="198">
        <v>34960</v>
      </c>
      <c r="M16" s="198">
        <v>32880</v>
      </c>
      <c r="N16" s="313">
        <v>25980</v>
      </c>
      <c r="O16" s="313">
        <v>0</v>
      </c>
      <c r="P16" s="313">
        <v>0</v>
      </c>
      <c r="Q16" s="309">
        <v>0</v>
      </c>
      <c r="R16" s="309">
        <v>0</v>
      </c>
      <c r="S16" s="388">
        <v>0</v>
      </c>
      <c r="T16" s="388">
        <v>0</v>
      </c>
      <c r="U16" s="388">
        <v>0</v>
      </c>
    </row>
    <row r="17" spans="1:21">
      <c r="A17" s="39"/>
      <c r="B17" s="40"/>
      <c r="C17" s="229"/>
      <c r="D17" s="230"/>
      <c r="E17" s="229"/>
      <c r="F17" s="229"/>
      <c r="G17" s="235"/>
      <c r="H17" s="196"/>
      <c r="I17" s="196"/>
      <c r="J17" s="196"/>
      <c r="K17" s="196"/>
      <c r="L17" s="196"/>
      <c r="M17" s="196"/>
      <c r="N17" s="298"/>
      <c r="O17" s="298"/>
      <c r="P17" s="298"/>
      <c r="Q17" s="311"/>
      <c r="R17" s="311"/>
      <c r="S17" s="298"/>
      <c r="T17" s="298"/>
      <c r="U17" s="298"/>
    </row>
    <row r="18" spans="1:21">
      <c r="A18" s="11">
        <v>13</v>
      </c>
      <c r="B18" s="38" t="s">
        <v>17</v>
      </c>
      <c r="C18" s="198">
        <v>4168</v>
      </c>
      <c r="D18" s="198">
        <v>1917</v>
      </c>
      <c r="E18" s="198">
        <v>0</v>
      </c>
      <c r="F18" s="198">
        <v>0</v>
      </c>
      <c r="G18" s="198">
        <v>0</v>
      </c>
      <c r="H18" s="198">
        <v>0</v>
      </c>
      <c r="I18" s="198">
        <v>0</v>
      </c>
      <c r="J18" s="198">
        <v>0</v>
      </c>
      <c r="K18" s="198"/>
      <c r="L18" s="198">
        <v>0</v>
      </c>
      <c r="M18" s="198">
        <v>0</v>
      </c>
      <c r="N18" s="313">
        <v>0</v>
      </c>
      <c r="O18" s="313">
        <v>0</v>
      </c>
      <c r="P18" s="313">
        <v>0</v>
      </c>
      <c r="Q18" s="309">
        <v>0</v>
      </c>
      <c r="R18" s="309">
        <v>0</v>
      </c>
      <c r="S18" s="388">
        <v>0</v>
      </c>
      <c r="T18" s="388">
        <v>0</v>
      </c>
      <c r="U18" s="388">
        <v>0</v>
      </c>
    </row>
    <row r="19" spans="1:21">
      <c r="A19" s="41"/>
      <c r="B19" s="42"/>
      <c r="C19" s="236"/>
      <c r="D19" s="237"/>
      <c r="E19" s="236"/>
      <c r="F19" s="236"/>
      <c r="G19" s="24"/>
      <c r="H19" s="196"/>
      <c r="I19" s="196"/>
      <c r="J19" s="196"/>
      <c r="K19" s="196"/>
      <c r="L19" s="196"/>
      <c r="M19" s="196"/>
      <c r="N19" s="298"/>
      <c r="O19" s="298"/>
      <c r="P19" s="298"/>
      <c r="Q19" s="311"/>
      <c r="R19" s="311"/>
      <c r="S19" s="298"/>
      <c r="T19" s="298"/>
      <c r="U19" s="298"/>
    </row>
    <row r="20" spans="1:21">
      <c r="A20" s="43"/>
      <c r="B20" s="36"/>
      <c r="C20" s="232"/>
      <c r="D20" s="233"/>
      <c r="E20" s="232"/>
      <c r="F20" s="232"/>
      <c r="G20" s="238"/>
      <c r="H20" s="200"/>
      <c r="I20" s="234"/>
      <c r="J20" s="200"/>
      <c r="K20" s="234"/>
      <c r="L20" s="200"/>
      <c r="M20" s="200"/>
      <c r="N20" s="305"/>
      <c r="O20" s="305"/>
      <c r="P20" s="305"/>
      <c r="Q20" s="308"/>
      <c r="R20" s="308"/>
      <c r="S20" s="305"/>
      <c r="T20" s="305"/>
      <c r="U20" s="305"/>
    </row>
    <row r="21" spans="1:21">
      <c r="A21" s="11">
        <v>2</v>
      </c>
      <c r="B21" s="38" t="s">
        <v>18</v>
      </c>
      <c r="C21" s="198">
        <f t="shared" ref="C21:H21" si="16">C23+C28+C30+C32+C34</f>
        <v>243613</v>
      </c>
      <c r="D21" s="198">
        <f t="shared" si="16"/>
        <v>227784</v>
      </c>
      <c r="E21" s="198">
        <f t="shared" si="16"/>
        <v>220178</v>
      </c>
      <c r="F21" s="198">
        <f t="shared" si="16"/>
        <v>212160</v>
      </c>
      <c r="G21" s="198">
        <f t="shared" si="16"/>
        <v>197909</v>
      </c>
      <c r="H21" s="198">
        <f t="shared" si="16"/>
        <v>353872</v>
      </c>
      <c r="I21" s="198">
        <f t="shared" ref="I21:N21" si="17">I23+I28+I30+I32+I34</f>
        <v>349662</v>
      </c>
      <c r="J21" s="214">
        <f t="shared" si="17"/>
        <v>359747</v>
      </c>
      <c r="K21" s="198">
        <f t="shared" si="17"/>
        <v>338294</v>
      </c>
      <c r="L21" s="198">
        <f t="shared" si="17"/>
        <v>348589</v>
      </c>
      <c r="M21" s="198">
        <f t="shared" si="17"/>
        <v>331200</v>
      </c>
      <c r="N21" s="198">
        <f t="shared" si="17"/>
        <v>326207</v>
      </c>
      <c r="O21" s="198">
        <f>O23+O28+O30+O32+O34</f>
        <v>300140</v>
      </c>
      <c r="P21" s="198">
        <f>P23+P28+P30+P32+P34</f>
        <v>302220</v>
      </c>
      <c r="Q21" s="13">
        <f t="shared" ref="Q21:R21" si="18">Q23+Q28+Q30+Q32+Q34</f>
        <v>308888</v>
      </c>
      <c r="R21" s="13">
        <f t="shared" si="18"/>
        <v>303663</v>
      </c>
      <c r="S21" s="348">
        <f t="shared" ref="S21:T21" si="19">S23+S28+S30+S32+S34</f>
        <v>287800</v>
      </c>
      <c r="T21" s="348">
        <f t="shared" si="19"/>
        <v>294375</v>
      </c>
      <c r="U21" s="348">
        <f t="shared" ref="U21" si="20">U23+U28+U30+U32+U34</f>
        <v>173883.09999999998</v>
      </c>
    </row>
    <row r="22" spans="1:21">
      <c r="A22" s="44"/>
      <c r="B22" s="45"/>
      <c r="C22" s="229"/>
      <c r="D22" s="230"/>
      <c r="E22" s="229"/>
      <c r="F22" s="229"/>
      <c r="G22" s="24"/>
      <c r="H22" s="196"/>
      <c r="I22" s="196"/>
      <c r="J22" s="196"/>
      <c r="K22" s="196"/>
      <c r="L22" s="196"/>
      <c r="M22" s="196"/>
      <c r="N22" s="196"/>
      <c r="O22" s="196"/>
      <c r="P22" s="196"/>
      <c r="Q22" s="18"/>
      <c r="R22" s="18"/>
      <c r="S22" s="298"/>
      <c r="T22" s="298"/>
      <c r="U22" s="298"/>
    </row>
    <row r="23" spans="1:21">
      <c r="A23" s="46">
        <v>20</v>
      </c>
      <c r="B23" s="47" t="s">
        <v>19</v>
      </c>
      <c r="C23" s="198">
        <f>+C24+C25+C26</f>
        <v>199971</v>
      </c>
      <c r="D23" s="198">
        <f>+D24+D25+D26</f>
        <v>182027</v>
      </c>
      <c r="E23" s="198">
        <f>+E24+E25+E26</f>
        <v>176559</v>
      </c>
      <c r="F23" s="198">
        <f t="shared" ref="F23:L23" si="21">F24+F25+F26</f>
        <v>164186</v>
      </c>
      <c r="G23" s="198">
        <f t="shared" si="21"/>
        <v>141326</v>
      </c>
      <c r="H23" s="198">
        <f t="shared" si="21"/>
        <v>143995</v>
      </c>
      <c r="I23" s="198">
        <f t="shared" si="21"/>
        <v>132429</v>
      </c>
      <c r="J23" s="198">
        <f t="shared" si="21"/>
        <v>128248</v>
      </c>
      <c r="K23" s="198">
        <f t="shared" si="21"/>
        <v>88877</v>
      </c>
      <c r="L23" s="198">
        <f t="shared" si="21"/>
        <v>85301</v>
      </c>
      <c r="M23" s="198">
        <f>M24+M25+M26</f>
        <v>56630</v>
      </c>
      <c r="N23" s="198">
        <f>N24+N25+N26</f>
        <v>51563</v>
      </c>
      <c r="O23" s="198">
        <f>O24+O25+O26</f>
        <v>57954</v>
      </c>
      <c r="P23" s="198">
        <f>P24+P25+P26</f>
        <v>64920</v>
      </c>
      <c r="Q23" s="13">
        <f t="shared" ref="Q23:R23" si="22">Q24+Q25+Q26</f>
        <v>86258</v>
      </c>
      <c r="R23" s="13">
        <f t="shared" si="22"/>
        <v>62773</v>
      </c>
      <c r="S23" s="348">
        <f t="shared" ref="S23:T23" si="23">S24+S25+S26</f>
        <v>57279</v>
      </c>
      <c r="T23" s="348">
        <f t="shared" si="23"/>
        <v>82843</v>
      </c>
      <c r="U23" s="348">
        <f t="shared" ref="U23" si="24">U24+U25+U26</f>
        <v>73062.7</v>
      </c>
    </row>
    <row r="24" spans="1:21">
      <c r="A24" s="48" t="s">
        <v>20</v>
      </c>
      <c r="B24" s="49" t="s">
        <v>21</v>
      </c>
      <c r="C24" s="231">
        <f>41655+16400</f>
        <v>58055</v>
      </c>
      <c r="D24" s="231">
        <f>43025+12830</f>
        <v>55855</v>
      </c>
      <c r="E24" s="231">
        <f>37238+16510</f>
        <v>53748</v>
      </c>
      <c r="F24" s="231">
        <f>33129+10650</f>
        <v>43779</v>
      </c>
      <c r="G24" s="231">
        <f>25624+3656</f>
        <v>29280</v>
      </c>
      <c r="H24" s="231">
        <f>32831+11474</f>
        <v>44305</v>
      </c>
      <c r="I24" s="231">
        <f>37769+6000</f>
        <v>43769</v>
      </c>
      <c r="J24" s="196">
        <f>39141+8340</f>
        <v>47481</v>
      </c>
      <c r="K24" s="231">
        <f>37865+9660</f>
        <v>47525</v>
      </c>
      <c r="L24" s="196">
        <f>53801+4910</f>
        <v>58711</v>
      </c>
      <c r="M24" s="196">
        <v>40346</v>
      </c>
      <c r="N24" s="298">
        <v>43495</v>
      </c>
      <c r="O24" s="298">
        <v>48556</v>
      </c>
      <c r="P24" s="298">
        <v>54188</v>
      </c>
      <c r="Q24" s="302">
        <v>72280</v>
      </c>
      <c r="R24" s="302">
        <v>46194</v>
      </c>
      <c r="S24" s="298">
        <v>28862</v>
      </c>
      <c r="T24" s="298">
        <v>62198</v>
      </c>
      <c r="U24" s="298">
        <v>49180.6</v>
      </c>
    </row>
    <row r="25" spans="1:21">
      <c r="A25" s="50">
        <v>202</v>
      </c>
      <c r="B25" s="51" t="s">
        <v>22</v>
      </c>
      <c r="C25" s="231">
        <v>133887</v>
      </c>
      <c r="D25" s="231">
        <v>120324</v>
      </c>
      <c r="E25" s="231">
        <v>115468</v>
      </c>
      <c r="F25" s="231">
        <v>112500</v>
      </c>
      <c r="G25" s="231">
        <v>105540</v>
      </c>
      <c r="H25" s="231">
        <v>92840</v>
      </c>
      <c r="I25" s="231">
        <v>73440</v>
      </c>
      <c r="J25" s="199">
        <v>58580</v>
      </c>
      <c r="K25" s="231">
        <v>28910</v>
      </c>
      <c r="L25" s="199">
        <v>13000</v>
      </c>
      <c r="M25" s="199">
        <v>8000</v>
      </c>
      <c r="N25" s="300">
        <v>1000</v>
      </c>
      <c r="O25" s="300">
        <v>0</v>
      </c>
      <c r="P25" s="300">
        <v>0</v>
      </c>
      <c r="Q25" s="302">
        <v>0</v>
      </c>
      <c r="R25" s="302">
        <v>5000</v>
      </c>
      <c r="S25" s="300">
        <v>10000</v>
      </c>
      <c r="T25" s="300">
        <v>5000</v>
      </c>
      <c r="U25" s="300">
        <v>5000</v>
      </c>
    </row>
    <row r="26" spans="1:21">
      <c r="A26" s="50">
        <v>205</v>
      </c>
      <c r="B26" s="52" t="s">
        <v>23</v>
      </c>
      <c r="C26" s="231">
        <v>8029</v>
      </c>
      <c r="D26" s="231">
        <v>5848</v>
      </c>
      <c r="E26" s="231">
        <v>7343</v>
      </c>
      <c r="F26" s="231">
        <v>7907</v>
      </c>
      <c r="G26" s="231">
        <v>6506</v>
      </c>
      <c r="H26" s="231">
        <v>6850</v>
      </c>
      <c r="I26" s="231">
        <v>15220</v>
      </c>
      <c r="J26" s="196">
        <v>22187</v>
      </c>
      <c r="K26" s="231">
        <v>12442</v>
      </c>
      <c r="L26" s="196">
        <v>13590</v>
      </c>
      <c r="M26" s="196">
        <v>8284</v>
      </c>
      <c r="N26" s="298">
        <v>7068</v>
      </c>
      <c r="O26" s="298">
        <v>9398</v>
      </c>
      <c r="P26" s="298">
        <v>10732</v>
      </c>
      <c r="Q26" s="302">
        <v>13978</v>
      </c>
      <c r="R26" s="302">
        <v>11579</v>
      </c>
      <c r="S26" s="298">
        <v>18417</v>
      </c>
      <c r="T26" s="298">
        <v>15645</v>
      </c>
      <c r="U26" s="298">
        <v>18882.099999999999</v>
      </c>
    </row>
    <row r="27" spans="1:21">
      <c r="A27" s="35"/>
      <c r="B27" s="36"/>
      <c r="C27" s="232"/>
      <c r="D27" s="233"/>
      <c r="E27" s="232"/>
      <c r="F27" s="232"/>
      <c r="G27" s="238"/>
      <c r="H27" s="200"/>
      <c r="I27" s="234"/>
      <c r="J27" s="200"/>
      <c r="K27" s="234"/>
      <c r="L27" s="200"/>
      <c r="M27" s="200"/>
      <c r="N27" s="305"/>
      <c r="O27" s="305"/>
      <c r="P27" s="305"/>
      <c r="Q27" s="308"/>
      <c r="R27" s="308"/>
      <c r="S27" s="305"/>
      <c r="T27" s="305"/>
      <c r="U27" s="305"/>
    </row>
    <row r="28" spans="1:21">
      <c r="A28" s="11">
        <v>23</v>
      </c>
      <c r="B28" s="38" t="s">
        <v>24</v>
      </c>
      <c r="C28" s="198">
        <v>35937</v>
      </c>
      <c r="D28" s="198">
        <v>39406</v>
      </c>
      <c r="E28" s="198">
        <v>35608</v>
      </c>
      <c r="F28" s="198">
        <v>35856</v>
      </c>
      <c r="G28" s="198">
        <v>35422</v>
      </c>
      <c r="H28" s="198">
        <v>37587</v>
      </c>
      <c r="I28" s="198">
        <v>35063</v>
      </c>
      <c r="J28" s="201">
        <v>35170</v>
      </c>
      <c r="K28" s="198">
        <v>33805</v>
      </c>
      <c r="L28" s="198">
        <v>33833</v>
      </c>
      <c r="M28" s="198">
        <v>33855</v>
      </c>
      <c r="N28" s="313">
        <v>32869</v>
      </c>
      <c r="O28" s="313">
        <v>0</v>
      </c>
      <c r="P28" s="313"/>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3471</v>
      </c>
      <c r="D30" s="198">
        <v>2355</v>
      </c>
      <c r="E30" s="198">
        <v>2726</v>
      </c>
      <c r="F30" s="198">
        <v>3197</v>
      </c>
      <c r="G30" s="198">
        <v>3315</v>
      </c>
      <c r="H30" s="198">
        <v>2010</v>
      </c>
      <c r="I30" s="198">
        <v>2071</v>
      </c>
      <c r="J30" s="198">
        <v>1910</v>
      </c>
      <c r="K30" s="198">
        <v>1717</v>
      </c>
      <c r="L30" s="198">
        <v>1661</v>
      </c>
      <c r="M30" s="198">
        <v>1504</v>
      </c>
      <c r="N30" s="313">
        <v>1554</v>
      </c>
      <c r="O30" s="313">
        <v>5251</v>
      </c>
      <c r="P30" s="313">
        <v>5944</v>
      </c>
      <c r="Q30" s="309">
        <v>5630</v>
      </c>
      <c r="R30" s="309">
        <v>5690</v>
      </c>
      <c r="S30" s="388">
        <v>4804</v>
      </c>
      <c r="T30" s="388">
        <v>5127</v>
      </c>
      <c r="U30" s="388">
        <v>5301.7000000000007</v>
      </c>
    </row>
    <row r="31" spans="1:21">
      <c r="A31" s="44"/>
      <c r="B31" s="45"/>
      <c r="C31" s="231"/>
      <c r="D31" s="230"/>
      <c r="E31" s="229"/>
      <c r="F31" s="229"/>
      <c r="G31" s="198"/>
      <c r="H31" s="196"/>
      <c r="I31" s="196"/>
      <c r="J31" s="196"/>
      <c r="K31" s="196"/>
      <c r="L31" s="196"/>
      <c r="M31" s="196"/>
      <c r="N31" s="298"/>
      <c r="O31" s="298"/>
      <c r="P31" s="298"/>
      <c r="Q31" s="311"/>
      <c r="R31" s="311"/>
      <c r="S31" s="298"/>
      <c r="T31" s="298"/>
      <c r="U31" s="298"/>
    </row>
    <row r="32" spans="1:21">
      <c r="A32" s="54">
        <v>28</v>
      </c>
      <c r="B32" s="47" t="s">
        <v>26</v>
      </c>
      <c r="C32" s="198">
        <v>4234</v>
      </c>
      <c r="D32" s="198">
        <v>3996</v>
      </c>
      <c r="E32" s="198">
        <v>3881</v>
      </c>
      <c r="F32" s="198">
        <f>6129-2700</f>
        <v>3429</v>
      </c>
      <c r="G32" s="198">
        <v>4127</v>
      </c>
      <c r="H32" s="198">
        <v>36032</v>
      </c>
      <c r="I32" s="198">
        <v>34231</v>
      </c>
      <c r="J32" s="198">
        <v>46606</v>
      </c>
      <c r="K32" s="198">
        <v>59667</v>
      </c>
      <c r="L32" s="198">
        <v>72619</v>
      </c>
      <c r="M32" s="198">
        <v>83844</v>
      </c>
      <c r="N32" s="313">
        <v>86141</v>
      </c>
      <c r="O32" s="313">
        <v>41488</v>
      </c>
      <c r="P32" s="313">
        <v>41048</v>
      </c>
      <c r="Q32" s="309">
        <v>41490</v>
      </c>
      <c r="R32" s="309">
        <v>42229</v>
      </c>
      <c r="S32" s="388">
        <v>43559</v>
      </c>
      <c r="T32" s="388">
        <v>44726</v>
      </c>
      <c r="U32" s="388">
        <v>44333.4</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0</v>
      </c>
      <c r="D34" s="198">
        <v>0</v>
      </c>
      <c r="E34" s="198">
        <v>1404</v>
      </c>
      <c r="F34" s="198">
        <f>2792+2700</f>
        <v>5492</v>
      </c>
      <c r="G34" s="198">
        <v>13719</v>
      </c>
      <c r="H34" s="198">
        <v>134248</v>
      </c>
      <c r="I34" s="198">
        <v>145868</v>
      </c>
      <c r="J34" s="198">
        <v>147813</v>
      </c>
      <c r="K34" s="198">
        <v>154228</v>
      </c>
      <c r="L34" s="198">
        <v>155175</v>
      </c>
      <c r="M34" s="198">
        <v>155367</v>
      </c>
      <c r="N34" s="313">
        <v>154080</v>
      </c>
      <c r="O34" s="313">
        <v>195447</v>
      </c>
      <c r="P34" s="313">
        <v>190308</v>
      </c>
      <c r="Q34" s="309">
        <v>175510</v>
      </c>
      <c r="R34" s="309">
        <v>192971</v>
      </c>
      <c r="S34" s="388">
        <v>182158</v>
      </c>
      <c r="T34" s="388">
        <v>161679</v>
      </c>
      <c r="U34" s="388">
        <v>51185.3</v>
      </c>
    </row>
    <row r="35" spans="1:21">
      <c r="A35" s="41"/>
      <c r="B35" s="42"/>
      <c r="C35" s="56"/>
      <c r="D35" s="57"/>
      <c r="E35" s="56"/>
      <c r="F35" s="56"/>
      <c r="G35" s="56"/>
      <c r="H35" s="56"/>
      <c r="I35" s="167"/>
      <c r="J35" s="167"/>
      <c r="K35" s="167"/>
      <c r="L35" s="167"/>
      <c r="M35" s="167"/>
      <c r="N35" s="167"/>
      <c r="O35" s="167"/>
      <c r="P35" s="167"/>
      <c r="Q35" s="311"/>
      <c r="R35" s="311"/>
      <c r="S35" s="360"/>
      <c r="T35" s="360"/>
      <c r="U35" s="360"/>
    </row>
    <row r="36" spans="1:21">
      <c r="A36" s="170"/>
      <c r="B36" s="60"/>
      <c r="C36" s="171"/>
      <c r="D36" s="172"/>
      <c r="E36" s="171"/>
      <c r="F36" s="173"/>
      <c r="G36" s="174"/>
      <c r="H36" s="174"/>
      <c r="I36" s="175"/>
      <c r="J36" s="5"/>
      <c r="K36" s="175"/>
      <c r="L36" s="225"/>
      <c r="M36" s="225"/>
      <c r="N36" s="225"/>
      <c r="O36" s="225"/>
      <c r="P36" s="225"/>
      <c r="Q36" s="341"/>
      <c r="R36" s="341"/>
      <c r="S36" s="362"/>
      <c r="T36" s="362"/>
      <c r="U36" s="362"/>
    </row>
    <row r="37" spans="1:21">
      <c r="A37" s="66"/>
      <c r="B37" s="66"/>
      <c r="C37" s="65"/>
      <c r="D37" s="65"/>
      <c r="E37" s="65"/>
      <c r="F37" s="67"/>
      <c r="G37" s="65"/>
      <c r="H37" s="68"/>
      <c r="I37" s="65"/>
    </row>
    <row r="38" spans="1:21">
      <c r="H38" s="77"/>
    </row>
    <row r="39" spans="1:21">
      <c r="H39" s="77"/>
    </row>
    <row r="40" spans="1:21">
      <c r="H40" s="77"/>
    </row>
    <row r="41" spans="1:21">
      <c r="H41" s="77"/>
    </row>
    <row r="42" spans="1:21">
      <c r="H42" s="77"/>
    </row>
    <row r="43" spans="1:21">
      <c r="H43" s="77"/>
    </row>
    <row r="44" spans="1:21">
      <c r="H44" s="77"/>
    </row>
    <row r="45" spans="1:21">
      <c r="H45" s="77"/>
    </row>
    <row r="46" spans="1:21">
      <c r="H46" s="77"/>
    </row>
    <row r="47" spans="1:21">
      <c r="H47" s="77"/>
    </row>
    <row r="48" spans="1:21">
      <c r="H48" s="77"/>
    </row>
    <row r="49" spans="8:8">
      <c r="H49" s="77"/>
    </row>
    <row r="50" spans="8:8">
      <c r="H50" s="77"/>
    </row>
    <row r="51" spans="8:8">
      <c r="H51" s="77"/>
    </row>
    <row r="52" spans="8:8">
      <c r="H52" s="77"/>
    </row>
    <row r="53" spans="8:8">
      <c r="H53" s="77"/>
    </row>
    <row r="54" spans="8:8">
      <c r="H54" s="77"/>
    </row>
    <row r="55" spans="8:8">
      <c r="H55" s="77"/>
    </row>
    <row r="56" spans="8:8">
      <c r="H56" s="77"/>
    </row>
    <row r="57" spans="8:8">
      <c r="H57" s="77"/>
    </row>
    <row r="58" spans="8:8">
      <c r="H58" s="77"/>
    </row>
    <row r="59" spans="8:8">
      <c r="H59" s="77"/>
    </row>
    <row r="60" spans="8:8">
      <c r="H60" s="77"/>
    </row>
    <row r="61" spans="8:8">
      <c r="H61" s="77"/>
    </row>
    <row r="62" spans="8:8">
      <c r="H62" s="77"/>
    </row>
    <row r="63" spans="8:8">
      <c r="H63" s="77"/>
    </row>
    <row r="64" spans="8:8">
      <c r="H64" s="77"/>
    </row>
    <row r="65" spans="8:8">
      <c r="H65" s="77"/>
    </row>
    <row r="66" spans="8:8">
      <c r="H66" s="77"/>
    </row>
    <row r="67" spans="8:8">
      <c r="H67" s="77"/>
    </row>
    <row r="68" spans="8:8">
      <c r="H68" s="77"/>
    </row>
    <row r="69" spans="8:8">
      <c r="H69" s="77"/>
    </row>
    <row r="70" spans="8:8">
      <c r="H70" s="77"/>
    </row>
    <row r="71" spans="8:8">
      <c r="H71" s="77"/>
    </row>
    <row r="72" spans="8:8">
      <c r="H72" s="77"/>
    </row>
    <row r="73" spans="8:8">
      <c r="H73" s="77"/>
    </row>
    <row r="74" spans="8:8">
      <c r="H74" s="77"/>
    </row>
    <row r="75" spans="8:8">
      <c r="H75" s="77"/>
    </row>
    <row r="76" spans="8:8">
      <c r="H76" s="77"/>
    </row>
    <row r="77" spans="8:8">
      <c r="H77" s="77"/>
    </row>
    <row r="78" spans="8:8">
      <c r="H78" s="77"/>
    </row>
    <row r="79" spans="8:8">
      <c r="H79" s="77"/>
    </row>
    <row r="80" spans="8:8">
      <c r="H80" s="77"/>
    </row>
    <row r="81" spans="8:8">
      <c r="H81" s="77"/>
    </row>
    <row r="82" spans="8:8">
      <c r="H82" s="77"/>
    </row>
    <row r="83" spans="8:8">
      <c r="H83" s="77"/>
    </row>
    <row r="84" spans="8:8">
      <c r="H84" s="77"/>
    </row>
    <row r="85" spans="8:8">
      <c r="H85" s="77"/>
    </row>
    <row r="86" spans="8:8">
      <c r="H86" s="77"/>
    </row>
    <row r="87" spans="8:8">
      <c r="H87" s="77"/>
    </row>
    <row r="88" spans="8:8">
      <c r="H88" s="77"/>
    </row>
    <row r="89" spans="8:8">
      <c r="H89" s="77"/>
    </row>
    <row r="90" spans="8:8">
      <c r="H90" s="77"/>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enableFormatConditionsCalculation="0">
    <tabColor rgb="FF00B050"/>
    <pageSetUpPr fitToPage="1"/>
  </sheetPr>
  <dimension ref="A1:U41"/>
  <sheetViews>
    <sheetView view="pageLayout" topLeftCell="C1"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5" width="10.7109375" style="2" bestFit="1" customWidth="1"/>
    <col min="6" max="6" width="10.7109375" style="76" bestFit="1" customWidth="1"/>
    <col min="7" max="7" width="10.7109375" style="2" bestFit="1" customWidth="1"/>
    <col min="8" max="8" width="10.7109375" style="77"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
        <v>2007</v>
      </c>
      <c r="K1" s="1">
        <v>2008</v>
      </c>
      <c r="L1" s="1">
        <v>2009</v>
      </c>
      <c r="M1" s="1">
        <v>2010</v>
      </c>
      <c r="N1" s="1">
        <v>2011</v>
      </c>
      <c r="O1" s="1">
        <v>2012</v>
      </c>
      <c r="P1" s="1">
        <v>2013</v>
      </c>
      <c r="Q1" s="342">
        <v>2014</v>
      </c>
      <c r="R1" s="344">
        <v>2015</v>
      </c>
      <c r="S1" s="344">
        <v>2016</v>
      </c>
      <c r="T1" s="344">
        <v>2017</v>
      </c>
      <c r="U1" s="344">
        <v>2018</v>
      </c>
    </row>
    <row r="2" spans="1:21">
      <c r="A2" s="7" t="s">
        <v>3</v>
      </c>
      <c r="B2" s="8" t="s">
        <v>2</v>
      </c>
      <c r="C2" s="79"/>
      <c r="D2" s="79"/>
      <c r="E2" s="79"/>
      <c r="F2" s="79"/>
      <c r="G2" s="79"/>
      <c r="H2" s="79"/>
      <c r="I2" s="79"/>
      <c r="J2" s="5"/>
      <c r="K2" s="5"/>
      <c r="L2" s="5"/>
      <c r="M2" s="5"/>
      <c r="N2" s="5"/>
      <c r="O2" s="5"/>
      <c r="P2" s="5"/>
      <c r="Q2" s="349" t="s">
        <v>103</v>
      </c>
      <c r="R2" s="349" t="s">
        <v>103</v>
      </c>
      <c r="S2" s="349" t="s">
        <v>103</v>
      </c>
      <c r="T2" s="349" t="s">
        <v>103</v>
      </c>
      <c r="U2" s="349"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H4" si="0">C6+C11+C16+C18</f>
        <v>2831259</v>
      </c>
      <c r="D4" s="87">
        <f t="shared" si="0"/>
        <v>2740841</v>
      </c>
      <c r="E4" s="87">
        <f t="shared" si="0"/>
        <v>2661986</v>
      </c>
      <c r="F4" s="87">
        <f t="shared" si="0"/>
        <v>2806051</v>
      </c>
      <c r="G4" s="87">
        <f t="shared" si="0"/>
        <v>3515423</v>
      </c>
      <c r="H4" s="87">
        <f t="shared" si="0"/>
        <v>3090508</v>
      </c>
      <c r="I4" s="13">
        <f t="shared" ref="I4:O4" si="1">I6+I11+I16+I18</f>
        <v>2928996</v>
      </c>
      <c r="J4" s="13">
        <f t="shared" si="1"/>
        <v>3634675</v>
      </c>
      <c r="K4" s="13">
        <f t="shared" si="1"/>
        <v>4251915</v>
      </c>
      <c r="L4" s="13">
        <f t="shared" si="1"/>
        <v>4055578</v>
      </c>
      <c r="M4" s="13">
        <f t="shared" si="1"/>
        <v>4178702.3465299997</v>
      </c>
      <c r="N4" s="13">
        <f t="shared" si="1"/>
        <v>4017135.29789</v>
      </c>
      <c r="O4" s="13">
        <f t="shared" si="1"/>
        <v>4111882.95</v>
      </c>
      <c r="P4" s="13">
        <f t="shared" ref="P4:Q4" si="2">P6+P11+P16+P18</f>
        <v>4027971.7</v>
      </c>
      <c r="Q4" s="13">
        <f t="shared" si="2"/>
        <v>3372414.34564</v>
      </c>
      <c r="R4" s="13">
        <f t="shared" ref="R4" si="3">R6+R11+R16+R18</f>
        <v>3361537.0650900002</v>
      </c>
      <c r="S4" s="348">
        <f t="shared" ref="S4:T4" si="4">S6+S11+S16+S18</f>
        <v>3369834.5466</v>
      </c>
      <c r="T4" s="348">
        <f t="shared" si="4"/>
        <v>3458198.7572399997</v>
      </c>
      <c r="U4" s="348">
        <f t="shared" ref="U4" si="5">U6+U11+U16+U18</f>
        <v>3566985.7104700003</v>
      </c>
    </row>
    <row r="5" spans="1:21">
      <c r="A5" s="14"/>
      <c r="B5" s="15"/>
      <c r="C5" s="16"/>
      <c r="D5" s="17"/>
      <c r="E5" s="16"/>
      <c r="F5" s="16"/>
      <c r="G5" s="149"/>
      <c r="H5" s="18"/>
      <c r="I5" s="18"/>
      <c r="J5" s="18"/>
      <c r="K5" s="18"/>
      <c r="L5" s="18"/>
      <c r="M5" s="18"/>
      <c r="N5" s="18"/>
      <c r="O5" s="18"/>
      <c r="P5" s="18"/>
      <c r="Q5" s="18"/>
      <c r="R5" s="18"/>
      <c r="S5" s="298"/>
      <c r="T5" s="298"/>
      <c r="U5" s="298"/>
    </row>
    <row r="6" spans="1:21">
      <c r="A6" s="19">
        <v>10</v>
      </c>
      <c r="B6" s="12" t="s">
        <v>6</v>
      </c>
      <c r="C6" s="13">
        <f t="shared" ref="C6:H6" si="6">C7+C8+C9</f>
        <v>1115359</v>
      </c>
      <c r="D6" s="13">
        <f t="shared" si="6"/>
        <v>1149759</v>
      </c>
      <c r="E6" s="13">
        <f t="shared" si="6"/>
        <v>1107961</v>
      </c>
      <c r="F6" s="13">
        <f t="shared" si="6"/>
        <v>1331492</v>
      </c>
      <c r="G6" s="13">
        <f t="shared" si="6"/>
        <v>1069374</v>
      </c>
      <c r="H6" s="13">
        <f t="shared" si="6"/>
        <v>1559165</v>
      </c>
      <c r="I6" s="13">
        <f t="shared" ref="I6:O6" si="7">I7+I8+I9</f>
        <v>1491908</v>
      </c>
      <c r="J6" s="13">
        <f t="shared" si="7"/>
        <v>1231193</v>
      </c>
      <c r="K6" s="13">
        <f t="shared" si="7"/>
        <v>1358683</v>
      </c>
      <c r="L6" s="13">
        <f t="shared" si="7"/>
        <v>1307190</v>
      </c>
      <c r="M6" s="13">
        <f t="shared" si="7"/>
        <v>1688045.3355699999</v>
      </c>
      <c r="N6" s="13">
        <f t="shared" si="7"/>
        <v>1645227.2668900001</v>
      </c>
      <c r="O6" s="13">
        <f t="shared" si="7"/>
        <v>1418455.4080000001</v>
      </c>
      <c r="P6" s="13">
        <f t="shared" ref="P6" si="8">P7+P8+P9</f>
        <v>1304020.7000000002</v>
      </c>
      <c r="Q6" s="13">
        <f>Q7+Q8+Q9</f>
        <v>1344006.3283199999</v>
      </c>
      <c r="R6" s="13">
        <f>R7+R8+R9</f>
        <v>1372413.7620999999</v>
      </c>
      <c r="S6" s="348">
        <f>S7+S8+S9</f>
        <v>1432874.8505899999</v>
      </c>
      <c r="T6" s="348">
        <f>T7+T8+T9</f>
        <v>1597688.49801</v>
      </c>
      <c r="U6" s="348">
        <f>U7+U8+U9</f>
        <v>1742261.2789500002</v>
      </c>
    </row>
    <row r="7" spans="1:21">
      <c r="A7" s="20" t="s">
        <v>7</v>
      </c>
      <c r="B7" s="21" t="s">
        <v>8</v>
      </c>
      <c r="C7" s="164">
        <f>707971+31354</f>
        <v>739325</v>
      </c>
      <c r="D7" s="164">
        <f>680414+96945</f>
        <v>777359</v>
      </c>
      <c r="E7" s="164">
        <f>699380+72930</f>
        <v>772310</v>
      </c>
      <c r="F7" s="164">
        <f>226294+781361</f>
        <v>1007655</v>
      </c>
      <c r="G7" s="164">
        <f>66406+831570</f>
        <v>897976</v>
      </c>
      <c r="H7" s="164">
        <f>60244+1329856</f>
        <v>1390100</v>
      </c>
      <c r="I7" s="164">
        <f>1214446+55667</f>
        <v>1270113</v>
      </c>
      <c r="J7" s="196">
        <f>76390+833794</f>
        <v>910184</v>
      </c>
      <c r="K7" s="196">
        <f>75215+923791</f>
        <v>999006</v>
      </c>
      <c r="L7" s="196">
        <f>165980+764424+1</f>
        <v>930405</v>
      </c>
      <c r="M7" s="196">
        <v>1275625.6462699999</v>
      </c>
      <c r="N7" s="298">
        <v>1252114.66289</v>
      </c>
      <c r="O7" s="299">
        <v>1061279.2050000001</v>
      </c>
      <c r="P7" s="317">
        <v>928615.8</v>
      </c>
      <c r="Q7" s="302">
        <v>1006784.8385599999</v>
      </c>
      <c r="R7" s="302">
        <v>1003122.6090000001</v>
      </c>
      <c r="S7" s="298">
        <v>1008977.7072099999</v>
      </c>
      <c r="T7" s="298">
        <v>1140605.1884699999</v>
      </c>
      <c r="U7" s="298">
        <v>1298018.0526700001</v>
      </c>
    </row>
    <row r="8" spans="1:21">
      <c r="A8" s="25">
        <v>102</v>
      </c>
      <c r="B8" s="26" t="s">
        <v>83</v>
      </c>
      <c r="C8" s="164">
        <f>351179-1365</f>
        <v>349814</v>
      </c>
      <c r="D8" s="164">
        <v>351222</v>
      </c>
      <c r="E8" s="164">
        <v>313526</v>
      </c>
      <c r="F8" s="164">
        <v>288983</v>
      </c>
      <c r="G8" s="164">
        <v>147306</v>
      </c>
      <c r="H8" s="164">
        <v>143794</v>
      </c>
      <c r="I8" s="164">
        <v>139916</v>
      </c>
      <c r="J8" s="199">
        <v>148355</v>
      </c>
      <c r="K8" s="199">
        <v>149316</v>
      </c>
      <c r="L8" s="199">
        <v>139037</v>
      </c>
      <c r="M8" s="199">
        <v>143238.94243</v>
      </c>
      <c r="N8" s="300">
        <v>115775.632</v>
      </c>
      <c r="O8" s="301">
        <v>83072.354999999996</v>
      </c>
      <c r="P8" s="318">
        <v>59241.8</v>
      </c>
      <c r="Q8" s="302">
        <v>29091.25936</v>
      </c>
      <c r="R8" s="302">
        <v>24283.50648</v>
      </c>
      <c r="S8" s="300">
        <v>21829.362869999997</v>
      </c>
      <c r="T8" s="300">
        <v>33171.271480000003</v>
      </c>
      <c r="U8" s="300">
        <v>44676.848230000003</v>
      </c>
    </row>
    <row r="9" spans="1:21">
      <c r="A9" s="25">
        <v>103</v>
      </c>
      <c r="B9" s="26" t="s">
        <v>10</v>
      </c>
      <c r="C9" s="164">
        <v>26220</v>
      </c>
      <c r="D9" s="164">
        <v>21178</v>
      </c>
      <c r="E9" s="164">
        <v>22125</v>
      </c>
      <c r="F9" s="164">
        <v>34854</v>
      </c>
      <c r="G9" s="164">
        <v>24092</v>
      </c>
      <c r="H9" s="164">
        <v>25271</v>
      </c>
      <c r="I9" s="164">
        <v>81879</v>
      </c>
      <c r="J9" s="196">
        <v>172654</v>
      </c>
      <c r="K9" s="196">
        <v>210361</v>
      </c>
      <c r="L9" s="196">
        <v>237748</v>
      </c>
      <c r="M9" s="196">
        <v>269180.74686999997</v>
      </c>
      <c r="N9" s="298">
        <v>277336.97200000001</v>
      </c>
      <c r="O9" s="299">
        <v>274103.848</v>
      </c>
      <c r="P9" s="317">
        <v>316163.09999999998</v>
      </c>
      <c r="Q9" s="302">
        <v>308130.2304</v>
      </c>
      <c r="R9" s="302">
        <v>345007.64662000001</v>
      </c>
      <c r="S9" s="298">
        <v>402067.78051000001</v>
      </c>
      <c r="T9" s="298">
        <v>423912.03805999999</v>
      </c>
      <c r="U9" s="298">
        <v>399566.37805</v>
      </c>
    </row>
    <row r="10" spans="1:21">
      <c r="A10" s="28"/>
      <c r="B10" s="29"/>
      <c r="C10" s="30"/>
      <c r="D10" s="31"/>
      <c r="E10" s="30"/>
      <c r="F10" s="30"/>
      <c r="G10" s="149"/>
      <c r="H10" s="18"/>
      <c r="I10" s="18"/>
      <c r="J10" s="18"/>
      <c r="K10" s="18"/>
      <c r="L10" s="18"/>
      <c r="M10" s="18"/>
      <c r="N10" s="18"/>
      <c r="O10" s="296"/>
      <c r="P10" s="319"/>
      <c r="Q10" s="18"/>
      <c r="R10" s="18"/>
      <c r="S10" s="298"/>
      <c r="T10" s="298"/>
      <c r="U10" s="298"/>
    </row>
    <row r="11" spans="1:21">
      <c r="A11" s="19">
        <v>11</v>
      </c>
      <c r="B11" s="12" t="s">
        <v>11</v>
      </c>
      <c r="C11" s="13">
        <f t="shared" ref="C11:H11" si="9">C12+C13+C14</f>
        <v>1188363</v>
      </c>
      <c r="D11" s="13">
        <f t="shared" si="9"/>
        <v>1038857</v>
      </c>
      <c r="E11" s="13">
        <f t="shared" si="9"/>
        <v>971965</v>
      </c>
      <c r="F11" s="13">
        <f t="shared" si="9"/>
        <v>893301</v>
      </c>
      <c r="G11" s="13">
        <f t="shared" si="9"/>
        <v>985198</v>
      </c>
      <c r="H11" s="13">
        <f t="shared" si="9"/>
        <v>982671</v>
      </c>
      <c r="I11" s="13">
        <f t="shared" ref="I11:Q11" si="10">I12+I13+I14</f>
        <v>953740</v>
      </c>
      <c r="J11" s="13">
        <f t="shared" si="10"/>
        <v>1974053</v>
      </c>
      <c r="K11" s="13">
        <f t="shared" si="10"/>
        <v>1078058</v>
      </c>
      <c r="L11" s="13">
        <f t="shared" si="10"/>
        <v>1064274</v>
      </c>
      <c r="M11" s="13">
        <f t="shared" si="10"/>
        <v>1030352.19167</v>
      </c>
      <c r="N11" s="13">
        <f t="shared" si="10"/>
        <v>1090127.382</v>
      </c>
      <c r="O11" s="151">
        <f t="shared" si="10"/>
        <v>1415477.0050000001</v>
      </c>
      <c r="P11" s="151">
        <f t="shared" si="10"/>
        <v>1463758.5</v>
      </c>
      <c r="Q11" s="13">
        <f t="shared" si="10"/>
        <v>2028408.0173200001</v>
      </c>
      <c r="R11" s="13">
        <f t="shared" ref="R11" si="11">R12+R13+R14</f>
        <v>1989123.3029900002</v>
      </c>
      <c r="S11" s="348">
        <f t="shared" ref="S11:T11" si="12">S12+S13+S14</f>
        <v>1936959.6960100001</v>
      </c>
      <c r="T11" s="348">
        <f t="shared" si="12"/>
        <v>1860510.2592299997</v>
      </c>
      <c r="U11" s="348">
        <f t="shared" ref="U11" si="13">U12+U13+U14</f>
        <v>1824724.4315200001</v>
      </c>
    </row>
    <row r="12" spans="1:21">
      <c r="A12" s="32">
        <v>114</v>
      </c>
      <c r="B12" s="21" t="s">
        <v>12</v>
      </c>
      <c r="C12" s="164">
        <v>573344</v>
      </c>
      <c r="D12" s="164">
        <v>544154</v>
      </c>
      <c r="E12" s="164">
        <v>524908</v>
      </c>
      <c r="F12" s="164">
        <v>519719</v>
      </c>
      <c r="G12" s="164">
        <v>501030</v>
      </c>
      <c r="H12" s="164">
        <v>487715</v>
      </c>
      <c r="I12" s="164">
        <v>484284</v>
      </c>
      <c r="J12" s="196">
        <v>495320</v>
      </c>
      <c r="K12" s="196">
        <v>493898</v>
      </c>
      <c r="L12" s="196">
        <v>470316</v>
      </c>
      <c r="M12" s="196">
        <v>451457.36599999998</v>
      </c>
      <c r="N12" s="298">
        <v>422882.99400000001</v>
      </c>
      <c r="O12" s="299">
        <v>301413.26699999999</v>
      </c>
      <c r="P12" s="317">
        <v>303384.3</v>
      </c>
      <c r="Q12" s="302">
        <v>974488.13984000008</v>
      </c>
      <c r="R12" s="302">
        <v>946415.94676000008</v>
      </c>
      <c r="S12" s="298">
        <v>917234.20496000012</v>
      </c>
      <c r="T12" s="298">
        <v>866780.75617999979</v>
      </c>
      <c r="U12" s="298">
        <v>843620.73809000012</v>
      </c>
    </row>
    <row r="13" spans="1:21">
      <c r="A13" s="25">
        <v>115</v>
      </c>
      <c r="B13" s="26" t="s">
        <v>13</v>
      </c>
      <c r="C13" s="164">
        <v>615019</v>
      </c>
      <c r="D13" s="164">
        <v>494703</v>
      </c>
      <c r="E13" s="164">
        <v>447057</v>
      </c>
      <c r="F13" s="164">
        <v>373582</v>
      </c>
      <c r="G13" s="164">
        <v>484168</v>
      </c>
      <c r="H13" s="164">
        <v>494956</v>
      </c>
      <c r="I13" s="164">
        <v>469456</v>
      </c>
      <c r="J13" s="199">
        <v>1472708</v>
      </c>
      <c r="K13" s="199">
        <v>558140</v>
      </c>
      <c r="L13" s="199">
        <v>578385</v>
      </c>
      <c r="M13" s="199">
        <v>576054.54336000001</v>
      </c>
      <c r="N13" s="300">
        <v>664116.89099999995</v>
      </c>
      <c r="O13" s="301">
        <v>1110768.7830000001</v>
      </c>
      <c r="P13" s="318">
        <v>1154973.2</v>
      </c>
      <c r="Q13" s="302">
        <v>1053919.87748</v>
      </c>
      <c r="R13" s="302">
        <v>1042707.35623</v>
      </c>
      <c r="S13" s="300">
        <v>1019725.49105</v>
      </c>
      <c r="T13" s="300">
        <v>993729.50304999994</v>
      </c>
      <c r="U13" s="300">
        <v>981103.69342999998</v>
      </c>
    </row>
    <row r="14" spans="1:21">
      <c r="A14" s="33" t="s">
        <v>14</v>
      </c>
      <c r="B14" s="34" t="s">
        <v>15</v>
      </c>
      <c r="C14" s="164"/>
      <c r="D14" s="164"/>
      <c r="E14" s="164"/>
      <c r="F14" s="164"/>
      <c r="G14" s="164"/>
      <c r="H14" s="164"/>
      <c r="I14" s="164"/>
      <c r="J14" s="196">
        <v>6025</v>
      </c>
      <c r="K14" s="196">
        <v>26020</v>
      </c>
      <c r="L14" s="196">
        <v>15573</v>
      </c>
      <c r="M14" s="196">
        <v>2840.2823100000001</v>
      </c>
      <c r="N14" s="298">
        <v>3127.4969999999998</v>
      </c>
      <c r="O14" s="299">
        <v>3294.9549999999999</v>
      </c>
      <c r="P14" s="317">
        <v>5401</v>
      </c>
      <c r="Q14" s="302">
        <v>0</v>
      </c>
      <c r="R14" s="302">
        <v>0</v>
      </c>
      <c r="S14" s="298">
        <v>0</v>
      </c>
      <c r="T14" s="298">
        <v>0</v>
      </c>
      <c r="U14" s="298">
        <v>0</v>
      </c>
    </row>
    <row r="15" spans="1:21">
      <c r="A15" s="35"/>
      <c r="B15" s="36"/>
      <c r="C15" s="30"/>
      <c r="D15" s="31"/>
      <c r="E15" s="30"/>
      <c r="F15" s="30"/>
      <c r="G15" s="149"/>
      <c r="H15" s="37"/>
      <c r="I15" s="156"/>
      <c r="J15" s="37"/>
      <c r="K15" s="37"/>
      <c r="L15" s="37"/>
      <c r="M15" s="37"/>
      <c r="N15" s="303"/>
      <c r="O15" s="304"/>
      <c r="P15" s="320"/>
      <c r="Q15" s="308"/>
      <c r="R15" s="308"/>
      <c r="S15" s="305"/>
      <c r="T15" s="305"/>
      <c r="U15" s="305"/>
    </row>
    <row r="16" spans="1:21">
      <c r="A16" s="11">
        <v>12</v>
      </c>
      <c r="B16" s="38" t="s">
        <v>16</v>
      </c>
      <c r="C16" s="13">
        <v>457</v>
      </c>
      <c r="D16" s="13">
        <v>177</v>
      </c>
      <c r="E16" s="13">
        <v>329</v>
      </c>
      <c r="F16" s="13">
        <v>461</v>
      </c>
      <c r="G16" s="13">
        <v>904652</v>
      </c>
      <c r="H16" s="13">
        <v>23280</v>
      </c>
      <c r="I16" s="13">
        <v>49</v>
      </c>
      <c r="J16" s="13">
        <v>0</v>
      </c>
      <c r="K16" s="13">
        <v>1413532</v>
      </c>
      <c r="L16" s="13">
        <v>1305286</v>
      </c>
      <c r="M16" s="13">
        <v>1119995.2283099999</v>
      </c>
      <c r="N16" s="309">
        <v>967144.10400000005</v>
      </c>
      <c r="O16" s="310">
        <v>975337.69200000004</v>
      </c>
      <c r="P16" s="310">
        <v>970411.1</v>
      </c>
      <c r="Q16" s="309">
        <v>0</v>
      </c>
      <c r="R16" s="309">
        <v>0</v>
      </c>
      <c r="S16" s="388">
        <v>0</v>
      </c>
      <c r="T16" s="388">
        <v>0</v>
      </c>
      <c r="U16" s="388">
        <v>0</v>
      </c>
    </row>
    <row r="17" spans="1:21">
      <c r="A17" s="39"/>
      <c r="B17" s="40"/>
      <c r="C17" s="16"/>
      <c r="D17" s="17"/>
      <c r="E17" s="16"/>
      <c r="F17" s="16"/>
      <c r="G17" s="91"/>
      <c r="H17" s="18"/>
      <c r="I17" s="18"/>
      <c r="J17" s="18"/>
      <c r="K17" s="18"/>
      <c r="L17" s="18"/>
      <c r="M17" s="18"/>
      <c r="N17" s="311"/>
      <c r="O17" s="312"/>
      <c r="P17" s="321"/>
      <c r="Q17" s="311"/>
      <c r="R17" s="311"/>
      <c r="S17" s="298"/>
      <c r="T17" s="298"/>
      <c r="U17" s="298"/>
    </row>
    <row r="18" spans="1:21">
      <c r="A18" s="11">
        <v>13</v>
      </c>
      <c r="B18" s="38" t="s">
        <v>17</v>
      </c>
      <c r="C18" s="13">
        <v>527080</v>
      </c>
      <c r="D18" s="13">
        <v>552048</v>
      </c>
      <c r="E18" s="13">
        <v>581731</v>
      </c>
      <c r="F18" s="13">
        <v>580797</v>
      </c>
      <c r="G18" s="13">
        <v>556199</v>
      </c>
      <c r="H18" s="13">
        <v>525392</v>
      </c>
      <c r="I18" s="13">
        <v>483299</v>
      </c>
      <c r="J18" s="13">
        <v>429429</v>
      </c>
      <c r="K18" s="13">
        <v>401642</v>
      </c>
      <c r="L18" s="13">
        <v>378828</v>
      </c>
      <c r="M18" s="13">
        <v>340309.59097999998</v>
      </c>
      <c r="N18" s="309">
        <v>314636.54499999998</v>
      </c>
      <c r="O18" s="310">
        <v>302612.84499999997</v>
      </c>
      <c r="P18" s="310">
        <v>289781.40000000002</v>
      </c>
      <c r="Q18" s="309">
        <v>0</v>
      </c>
      <c r="R18" s="309">
        <v>0</v>
      </c>
      <c r="S18" s="388">
        <v>0</v>
      </c>
      <c r="T18" s="388">
        <v>0</v>
      </c>
      <c r="U18" s="388">
        <v>0</v>
      </c>
    </row>
    <row r="19" spans="1:21">
      <c r="A19" s="41"/>
      <c r="B19" s="42"/>
      <c r="C19" s="22"/>
      <c r="D19" s="23"/>
      <c r="E19" s="22"/>
      <c r="F19" s="22"/>
      <c r="G19" s="56"/>
      <c r="H19" s="18"/>
      <c r="I19" s="18"/>
      <c r="J19" s="18"/>
      <c r="K19" s="18"/>
      <c r="L19" s="18"/>
      <c r="M19" s="18"/>
      <c r="N19" s="311"/>
      <c r="O19" s="312"/>
      <c r="P19" s="321"/>
      <c r="Q19" s="311"/>
      <c r="R19" s="311"/>
      <c r="S19" s="298"/>
      <c r="T19" s="298"/>
      <c r="U19" s="298"/>
    </row>
    <row r="20" spans="1:21">
      <c r="A20" s="43"/>
      <c r="B20" s="36"/>
      <c r="C20" s="30"/>
      <c r="D20" s="31"/>
      <c r="E20" s="30"/>
      <c r="F20" s="30"/>
      <c r="G20" s="150"/>
      <c r="H20" s="37"/>
      <c r="I20" s="156"/>
      <c r="J20" s="37"/>
      <c r="K20" s="37"/>
      <c r="L20" s="37"/>
      <c r="M20" s="37"/>
      <c r="N20" s="303"/>
      <c r="O20" s="304"/>
      <c r="P20" s="320"/>
      <c r="Q20" s="308"/>
      <c r="R20" s="308"/>
      <c r="S20" s="305"/>
      <c r="T20" s="305"/>
      <c r="U20" s="305"/>
    </row>
    <row r="21" spans="1:21">
      <c r="A21" s="11">
        <v>2</v>
      </c>
      <c r="B21" s="38" t="s">
        <v>18</v>
      </c>
      <c r="C21" s="13">
        <f t="shared" ref="C21:H21" si="14">C23+C28+C30+C32+C34</f>
        <v>2831259</v>
      </c>
      <c r="D21" s="13">
        <f t="shared" si="14"/>
        <v>2740841</v>
      </c>
      <c r="E21" s="13">
        <f t="shared" si="14"/>
        <v>2661986</v>
      </c>
      <c r="F21" s="13">
        <f t="shared" si="14"/>
        <v>2806051</v>
      </c>
      <c r="G21" s="13">
        <f t="shared" si="14"/>
        <v>3515423</v>
      </c>
      <c r="H21" s="13">
        <f t="shared" si="14"/>
        <v>3090508</v>
      </c>
      <c r="I21" s="13">
        <f>I23+I28+I30+I32+I34</f>
        <v>2928996</v>
      </c>
      <c r="J21" s="13">
        <f>J23+J28+J30+J32+J34</f>
        <v>3634675</v>
      </c>
      <c r="K21" s="13">
        <f>K23+K28+K30+K32+K34+K36</f>
        <v>4251915.0580099998</v>
      </c>
      <c r="L21" s="13">
        <f>L23+L28+L30+L32+L34</f>
        <v>4055578</v>
      </c>
      <c r="M21" s="13">
        <f>M23+M28+M30+M32+M34</f>
        <v>4178702.3465300002</v>
      </c>
      <c r="N21" s="13">
        <f>N23+N28+N30+N32+N34</f>
        <v>4017135.2990000001</v>
      </c>
      <c r="O21" s="151">
        <f t="shared" ref="O21:Q21" si="15">O23+O28+O30+O32+O34</f>
        <v>4111882.9510000004</v>
      </c>
      <c r="P21" s="151">
        <f t="shared" si="15"/>
        <v>4027971.5999999996</v>
      </c>
      <c r="Q21" s="13">
        <f t="shared" si="15"/>
        <v>3372414.3456400004</v>
      </c>
      <c r="R21" s="13">
        <f t="shared" ref="R21:S21" si="16">R23+R28+R30+R32+R34</f>
        <v>3361537.0659299996</v>
      </c>
      <c r="S21" s="348">
        <f t="shared" si="16"/>
        <v>3369834.5469000004</v>
      </c>
      <c r="T21" s="348">
        <f t="shared" ref="T21" si="17">T23+T28+T30+T32+T34</f>
        <v>3458198.7572400006</v>
      </c>
      <c r="U21" s="348">
        <f t="shared" ref="U21" si="18">U23+U28+U30+U32+U34</f>
        <v>3566985.7104700003</v>
      </c>
    </row>
    <row r="22" spans="1:21">
      <c r="A22" s="44"/>
      <c r="B22" s="45"/>
      <c r="C22" s="16"/>
      <c r="D22" s="17"/>
      <c r="E22" s="16"/>
      <c r="F22" s="16"/>
      <c r="G22" s="56"/>
      <c r="H22" s="18"/>
      <c r="I22" s="18"/>
      <c r="J22" s="18"/>
      <c r="K22" s="18"/>
      <c r="L22" s="18"/>
      <c r="M22" s="18"/>
      <c r="N22" s="18"/>
      <c r="O22" s="296"/>
      <c r="P22" s="319"/>
      <c r="Q22" s="18"/>
      <c r="R22" s="18"/>
      <c r="S22" s="298"/>
      <c r="T22" s="298"/>
      <c r="U22" s="298"/>
    </row>
    <row r="23" spans="1:21">
      <c r="A23" s="46">
        <v>20</v>
      </c>
      <c r="B23" s="47" t="s">
        <v>19</v>
      </c>
      <c r="C23" s="13">
        <f t="shared" ref="C23:H23" si="19">C24+C25+C26</f>
        <v>1974044</v>
      </c>
      <c r="D23" s="13">
        <f>D24+D25+D26</f>
        <v>1891035</v>
      </c>
      <c r="E23" s="13">
        <f t="shared" si="19"/>
        <v>1812679</v>
      </c>
      <c r="F23" s="13">
        <f t="shared" si="19"/>
        <v>1875463</v>
      </c>
      <c r="G23" s="13">
        <f t="shared" si="19"/>
        <v>2623104</v>
      </c>
      <c r="H23" s="13">
        <f t="shared" si="19"/>
        <v>2210607</v>
      </c>
      <c r="I23" s="13">
        <f t="shared" ref="I23:Q23" si="20">I24+I25+I26</f>
        <v>2021432</v>
      </c>
      <c r="J23" s="13">
        <f t="shared" si="20"/>
        <v>2478864</v>
      </c>
      <c r="K23" s="13">
        <f t="shared" si="20"/>
        <v>3068543</v>
      </c>
      <c r="L23" s="13">
        <f t="shared" si="20"/>
        <v>2835149</v>
      </c>
      <c r="M23" s="13">
        <f t="shared" si="20"/>
        <v>2965552.80382</v>
      </c>
      <c r="N23" s="13">
        <f t="shared" si="20"/>
        <v>2730235.145</v>
      </c>
      <c r="O23" s="151">
        <f t="shared" si="20"/>
        <v>2585838.6890000002</v>
      </c>
      <c r="P23" s="151">
        <f t="shared" si="20"/>
        <v>2557698.7999999998</v>
      </c>
      <c r="Q23" s="13">
        <f t="shared" si="20"/>
        <v>2819578.2900300003</v>
      </c>
      <c r="R23" s="13">
        <f t="shared" ref="R23:S23" si="21">R24+R25+R26</f>
        <v>2872006.8620199999</v>
      </c>
      <c r="S23" s="348">
        <f t="shared" si="21"/>
        <v>2998514.3729400001</v>
      </c>
      <c r="T23" s="348">
        <f t="shared" ref="T23" si="22">T24+T25+T26</f>
        <v>2960497.6995400004</v>
      </c>
      <c r="U23" s="348">
        <f t="shared" ref="U23" si="23">U24+U25+U26</f>
        <v>2680998.5092900004</v>
      </c>
    </row>
    <row r="24" spans="1:21">
      <c r="A24" s="48" t="s">
        <v>20</v>
      </c>
      <c r="B24" s="49" t="s">
        <v>21</v>
      </c>
      <c r="C24" s="164">
        <v>148038</v>
      </c>
      <c r="D24" s="164">
        <v>164958</v>
      </c>
      <c r="E24" s="164">
        <v>158776</v>
      </c>
      <c r="F24" s="164">
        <f>204518+14384</f>
        <v>218902</v>
      </c>
      <c r="G24" s="164">
        <v>178636</v>
      </c>
      <c r="H24" s="164">
        <v>237282</v>
      </c>
      <c r="I24" s="164">
        <v>272981</v>
      </c>
      <c r="J24" s="196">
        <f>328600+281094</f>
        <v>609694</v>
      </c>
      <c r="K24" s="196">
        <f>376824+300000</f>
        <v>676824</v>
      </c>
      <c r="L24" s="196">
        <f>343694+140000</f>
        <v>483694</v>
      </c>
      <c r="M24" s="196">
        <v>463585.38163999998</v>
      </c>
      <c r="N24" s="298">
        <v>486045.31800000003</v>
      </c>
      <c r="O24" s="299">
        <v>562951.31000000006</v>
      </c>
      <c r="P24" s="317">
        <v>636675.80000000005</v>
      </c>
      <c r="Q24" s="302">
        <v>1006241.6305900001</v>
      </c>
      <c r="R24" s="302">
        <v>1021347.7127999999</v>
      </c>
      <c r="S24" s="298">
        <v>1345360.9004700002</v>
      </c>
      <c r="T24" s="298">
        <v>1056864.7810900002</v>
      </c>
      <c r="U24" s="298">
        <v>810950.85314000014</v>
      </c>
    </row>
    <row r="25" spans="1:21">
      <c r="A25" s="50">
        <v>202</v>
      </c>
      <c r="B25" s="51" t="s">
        <v>22</v>
      </c>
      <c r="C25" s="164">
        <v>1688865</v>
      </c>
      <c r="D25" s="164">
        <v>1596451</v>
      </c>
      <c r="E25" s="164">
        <v>1531500</v>
      </c>
      <c r="F25" s="164">
        <v>1531500</v>
      </c>
      <c r="G25" s="164">
        <f>2031500+260000</f>
        <v>2291500</v>
      </c>
      <c r="H25" s="164">
        <v>1836500</v>
      </c>
      <c r="I25" s="164">
        <v>1567000</v>
      </c>
      <c r="J25" s="199">
        <v>1567000</v>
      </c>
      <c r="K25" s="199">
        <v>2007000</v>
      </c>
      <c r="L25" s="199">
        <v>1942000</v>
      </c>
      <c r="M25" s="199">
        <v>2087000</v>
      </c>
      <c r="N25" s="300">
        <v>1822000</v>
      </c>
      <c r="O25" s="301">
        <v>1552000</v>
      </c>
      <c r="P25" s="318">
        <v>1372000</v>
      </c>
      <c r="Q25" s="302">
        <v>1212000</v>
      </c>
      <c r="R25" s="302">
        <v>1175000</v>
      </c>
      <c r="S25" s="300">
        <v>1005000</v>
      </c>
      <c r="T25" s="300">
        <v>1235000</v>
      </c>
      <c r="U25" s="300">
        <v>1150000</v>
      </c>
    </row>
    <row r="26" spans="1:21">
      <c r="A26" s="50">
        <v>205</v>
      </c>
      <c r="B26" s="52" t="s">
        <v>23</v>
      </c>
      <c r="C26" s="164">
        <v>137141</v>
      </c>
      <c r="D26" s="164">
        <v>129626</v>
      </c>
      <c r="E26" s="164">
        <v>122403</v>
      </c>
      <c r="F26" s="164">
        <v>125061</v>
      </c>
      <c r="G26" s="164">
        <v>152968</v>
      </c>
      <c r="H26" s="164">
        <v>136825</v>
      </c>
      <c r="I26" s="164">
        <v>181451</v>
      </c>
      <c r="J26" s="196">
        <v>302170</v>
      </c>
      <c r="K26" s="196">
        <v>384719</v>
      </c>
      <c r="L26" s="196">
        <v>409455</v>
      </c>
      <c r="M26" s="196">
        <v>414967.42217999999</v>
      </c>
      <c r="N26" s="298">
        <v>422189.82699999999</v>
      </c>
      <c r="O26" s="299">
        <v>470887.37900000002</v>
      </c>
      <c r="P26" s="317">
        <v>549023</v>
      </c>
      <c r="Q26" s="302">
        <v>601336.65943999996</v>
      </c>
      <c r="R26" s="302">
        <v>675659.14922000002</v>
      </c>
      <c r="S26" s="298">
        <v>648153.47247000004</v>
      </c>
      <c r="T26" s="298">
        <v>668632.91845</v>
      </c>
      <c r="U26" s="298">
        <v>720047.65615000005</v>
      </c>
    </row>
    <row r="27" spans="1:21">
      <c r="A27" s="35"/>
      <c r="B27" s="36"/>
      <c r="C27" s="30"/>
      <c r="D27" s="31"/>
      <c r="E27" s="30"/>
      <c r="F27" s="30"/>
      <c r="G27" s="150"/>
      <c r="H27" s="37"/>
      <c r="I27" s="156"/>
      <c r="J27" s="37"/>
      <c r="K27" s="37"/>
      <c r="L27" s="37"/>
      <c r="M27" s="37"/>
      <c r="N27" s="303"/>
      <c r="O27" s="304"/>
      <c r="P27" s="320"/>
      <c r="Q27" s="308"/>
      <c r="R27" s="308"/>
      <c r="S27" s="305"/>
      <c r="T27" s="305"/>
      <c r="U27" s="305"/>
    </row>
    <row r="28" spans="1:21">
      <c r="A28" s="11">
        <v>23</v>
      </c>
      <c r="B28" s="38" t="s">
        <v>24</v>
      </c>
      <c r="C28" s="13">
        <v>48330</v>
      </c>
      <c r="D28" s="13">
        <v>54125</v>
      </c>
      <c r="E28" s="13">
        <v>60970</v>
      </c>
      <c r="F28" s="13">
        <v>64388</v>
      </c>
      <c r="G28" s="13">
        <v>52628</v>
      </c>
      <c r="H28" s="13">
        <v>63576</v>
      </c>
      <c r="I28" s="13">
        <v>73999</v>
      </c>
      <c r="J28" s="13">
        <v>84798</v>
      </c>
      <c r="K28" s="13">
        <v>8071</v>
      </c>
      <c r="L28" s="13">
        <v>9538</v>
      </c>
      <c r="M28" s="13">
        <v>9607.3683999999994</v>
      </c>
      <c r="N28" s="309">
        <v>9320.1560000000009</v>
      </c>
      <c r="O28" s="310">
        <v>9865.893</v>
      </c>
      <c r="P28" s="310">
        <v>10289.299999999999</v>
      </c>
      <c r="Q28" s="309"/>
      <c r="R28" s="309"/>
      <c r="S28" s="388"/>
      <c r="T28" s="388"/>
      <c r="U28" s="388"/>
    </row>
    <row r="29" spans="1:21">
      <c r="A29" s="53"/>
      <c r="B29" s="40"/>
      <c r="C29" s="16"/>
      <c r="D29" s="17"/>
      <c r="E29" s="16"/>
      <c r="F29" s="16"/>
      <c r="G29" s="148"/>
      <c r="H29" s="18"/>
      <c r="I29" s="18"/>
      <c r="J29" s="18"/>
      <c r="K29" s="18"/>
      <c r="L29" s="18"/>
      <c r="M29" s="18"/>
      <c r="N29" s="311"/>
      <c r="O29" s="312"/>
      <c r="P29" s="321"/>
      <c r="Q29" s="311"/>
      <c r="R29" s="311"/>
      <c r="S29" s="298"/>
      <c r="T29" s="298"/>
      <c r="U29" s="298"/>
    </row>
    <row r="30" spans="1:21">
      <c r="A30" s="11">
        <v>24</v>
      </c>
      <c r="B30" s="38" t="s">
        <v>25</v>
      </c>
      <c r="C30" s="13">
        <v>68228</v>
      </c>
      <c r="D30" s="13">
        <v>81906</v>
      </c>
      <c r="E30" s="13">
        <v>57693</v>
      </c>
      <c r="F30" s="13">
        <v>121650</v>
      </c>
      <c r="G30" s="13">
        <v>105184</v>
      </c>
      <c r="H30" s="13">
        <v>82791</v>
      </c>
      <c r="I30" s="13">
        <v>38771</v>
      </c>
      <c r="J30" s="13">
        <v>46220</v>
      </c>
      <c r="K30" s="13">
        <v>66642</v>
      </c>
      <c r="L30" s="13">
        <v>74633</v>
      </c>
      <c r="M30" s="13">
        <v>63128.735780000003</v>
      </c>
      <c r="N30" s="309">
        <v>62148.123</v>
      </c>
      <c r="O30" s="310">
        <v>46296.112999999998</v>
      </c>
      <c r="P30" s="310">
        <v>44526.1</v>
      </c>
      <c r="Q30" s="309">
        <v>45544.644</v>
      </c>
      <c r="R30" s="309">
        <v>41888.232000000004</v>
      </c>
      <c r="S30" s="388">
        <v>84242.066349999994</v>
      </c>
      <c r="T30" s="388">
        <v>92304.722800000003</v>
      </c>
      <c r="U30" s="388">
        <v>77856.473499999993</v>
      </c>
    </row>
    <row r="31" spans="1:21">
      <c r="A31" s="44"/>
      <c r="B31" s="45"/>
      <c r="C31" s="164"/>
      <c r="D31" s="17"/>
      <c r="E31" s="16"/>
      <c r="F31" s="16"/>
      <c r="G31" s="13"/>
      <c r="H31" s="18"/>
      <c r="I31" s="18"/>
      <c r="J31" s="18"/>
      <c r="K31" s="18"/>
      <c r="L31" s="18"/>
      <c r="M31" s="18"/>
      <c r="N31" s="311"/>
      <c r="O31" s="312"/>
      <c r="P31" s="321"/>
      <c r="Q31" s="311"/>
      <c r="R31" s="311"/>
      <c r="S31" s="298"/>
      <c r="T31" s="298"/>
      <c r="U31" s="298"/>
    </row>
    <row r="32" spans="1:21">
      <c r="A32" s="54">
        <v>28</v>
      </c>
      <c r="B32" s="47" t="s">
        <v>26</v>
      </c>
      <c r="C32" s="13">
        <v>167313</v>
      </c>
      <c r="D32" s="13">
        <v>169621</v>
      </c>
      <c r="E32" s="13">
        <v>205736</v>
      </c>
      <c r="F32" s="13">
        <v>224831</v>
      </c>
      <c r="G32" s="13">
        <v>233477</v>
      </c>
      <c r="H32" s="13">
        <v>245819</v>
      </c>
      <c r="I32" s="13">
        <v>310510</v>
      </c>
      <c r="J32" s="13">
        <v>529473</v>
      </c>
      <c r="K32" s="13">
        <v>411089.05800999998</v>
      </c>
      <c r="L32" s="13">
        <v>458286</v>
      </c>
      <c r="M32" s="13">
        <v>473487.98728</v>
      </c>
      <c r="N32" s="309">
        <v>498951.00300000003</v>
      </c>
      <c r="O32" s="310">
        <v>511137.75900000002</v>
      </c>
      <c r="P32" s="310">
        <v>523236.9</v>
      </c>
      <c r="Q32" s="309">
        <v>92744.053639999998</v>
      </c>
      <c r="R32" s="309">
        <v>94451.43707</v>
      </c>
      <c r="S32" s="388">
        <v>91435.590280000004</v>
      </c>
      <c r="T32" s="388">
        <v>83886.153950000007</v>
      </c>
      <c r="U32" s="388">
        <v>70318.693329999995</v>
      </c>
    </row>
    <row r="33" spans="1:21">
      <c r="A33" s="53"/>
      <c r="B33" s="40"/>
      <c r="C33" s="16"/>
      <c r="D33" s="17"/>
      <c r="E33" s="16"/>
      <c r="F33" s="16"/>
      <c r="G33" s="13"/>
      <c r="H33" s="18"/>
      <c r="I33" s="18"/>
      <c r="J33" s="18"/>
      <c r="K33" s="18"/>
      <c r="L33" s="18"/>
      <c r="M33" s="18"/>
      <c r="N33" s="311"/>
      <c r="O33" s="312"/>
      <c r="P33" s="321"/>
      <c r="Q33" s="311"/>
      <c r="R33" s="311"/>
      <c r="S33" s="298"/>
      <c r="T33" s="298"/>
      <c r="U33" s="298"/>
    </row>
    <row r="34" spans="1:21">
      <c r="A34" s="11">
        <v>29</v>
      </c>
      <c r="B34" s="38" t="s">
        <v>27</v>
      </c>
      <c r="C34" s="13">
        <v>573344</v>
      </c>
      <c r="D34" s="13">
        <v>544154</v>
      </c>
      <c r="E34" s="13">
        <v>524908</v>
      </c>
      <c r="F34" s="13">
        <v>519719</v>
      </c>
      <c r="G34" s="13">
        <v>501030</v>
      </c>
      <c r="H34" s="13">
        <v>487715</v>
      </c>
      <c r="I34" s="13">
        <v>484284</v>
      </c>
      <c r="J34" s="13">
        <v>495320</v>
      </c>
      <c r="K34" s="13">
        <f>493898+203672</f>
        <v>697570</v>
      </c>
      <c r="L34" s="13">
        <f>470316+207656</f>
        <v>677972</v>
      </c>
      <c r="M34" s="13">
        <v>666925.45124999993</v>
      </c>
      <c r="N34" s="309">
        <v>716480.87199999997</v>
      </c>
      <c r="O34" s="310">
        <v>958744.49699999997</v>
      </c>
      <c r="P34" s="310">
        <v>892220.5</v>
      </c>
      <c r="Q34" s="309">
        <v>414547.35797000013</v>
      </c>
      <c r="R34" s="309">
        <v>353190.53484000004</v>
      </c>
      <c r="S34" s="388">
        <v>195642.51733</v>
      </c>
      <c r="T34" s="388">
        <v>321510.18094999995</v>
      </c>
      <c r="U34" s="388">
        <v>737812.03435000009</v>
      </c>
    </row>
    <row r="35" spans="1:21">
      <c r="A35" s="41"/>
      <c r="B35" s="42"/>
      <c r="C35" s="56"/>
      <c r="D35" s="57"/>
      <c r="E35" s="56"/>
      <c r="F35" s="58"/>
      <c r="G35" s="24"/>
      <c r="H35" s="59"/>
      <c r="I35" s="165"/>
      <c r="J35" s="18"/>
      <c r="K35" s="18"/>
      <c r="L35" s="18"/>
      <c r="M35" s="18"/>
      <c r="N35" s="18"/>
      <c r="O35" s="18"/>
      <c r="P35" s="18"/>
      <c r="Q35" s="311"/>
      <c r="R35" s="360"/>
      <c r="S35" s="360"/>
      <c r="T35" s="360"/>
      <c r="U35" s="360"/>
    </row>
    <row r="36" spans="1:21">
      <c r="A36" s="3"/>
      <c r="B36" s="60"/>
      <c r="C36" s="61"/>
      <c r="D36" s="62"/>
      <c r="E36" s="61"/>
      <c r="F36" s="63"/>
      <c r="G36" s="64"/>
      <c r="H36" s="64"/>
      <c r="I36" s="55"/>
      <c r="J36" s="55"/>
      <c r="K36" s="55"/>
      <c r="L36" s="55"/>
      <c r="M36" s="55"/>
      <c r="N36" s="55"/>
      <c r="O36" s="55"/>
      <c r="P36" s="55"/>
      <c r="Q36" s="341"/>
      <c r="R36" s="362"/>
      <c r="S36" s="362"/>
      <c r="T36" s="362"/>
      <c r="U36" s="362"/>
    </row>
    <row r="37" spans="1:21" s="65" customFormat="1">
      <c r="A37" s="66"/>
      <c r="B37" s="66"/>
      <c r="F37" s="67"/>
      <c r="H37" s="68"/>
      <c r="I37" s="168"/>
      <c r="J37" s="224"/>
      <c r="R37" s="78"/>
      <c r="S37" s="78"/>
      <c r="T37" s="78"/>
      <c r="U37" s="78"/>
    </row>
    <row r="38" spans="1:21" s="69" customFormat="1" ht="15.75">
      <c r="A38" s="70"/>
      <c r="B38" s="70"/>
      <c r="C38" s="71"/>
      <c r="F38" s="72"/>
      <c r="H38" s="73"/>
      <c r="I38" s="168"/>
      <c r="J38" s="168"/>
      <c r="M38" s="2"/>
      <c r="R38" s="334"/>
      <c r="S38" s="334"/>
      <c r="T38" s="334"/>
      <c r="U38" s="334"/>
    </row>
    <row r="39" spans="1:21" s="65" customFormat="1">
      <c r="A39" s="74"/>
      <c r="B39" s="66"/>
      <c r="F39" s="67"/>
      <c r="H39" s="68"/>
      <c r="J39" s="69"/>
      <c r="R39" s="78"/>
      <c r="S39" s="78"/>
      <c r="T39" s="78"/>
      <c r="U39" s="78"/>
    </row>
    <row r="40" spans="1:21">
      <c r="P40" s="354"/>
      <c r="Q40" s="354"/>
      <c r="R40" s="354"/>
      <c r="S40" s="354"/>
      <c r="T40" s="354"/>
      <c r="U40" s="354"/>
    </row>
    <row r="41" spans="1:21">
      <c r="P41" s="354"/>
      <c r="Q41" s="354"/>
      <c r="R41" s="354"/>
      <c r="S41" s="354"/>
      <c r="T41" s="354"/>
      <c r="U41" s="354"/>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1"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65</v>
      </c>
      <c r="C2" s="79"/>
      <c r="D2" s="79"/>
      <c r="E2" s="79"/>
      <c r="F2" s="79"/>
      <c r="G2" s="79"/>
      <c r="H2" s="79"/>
      <c r="I2" s="79"/>
      <c r="J2" s="349"/>
      <c r="K2" s="349"/>
      <c r="L2" s="349"/>
      <c r="M2" s="349"/>
      <c r="N2" s="349"/>
      <c r="O2" s="349"/>
      <c r="P2" s="349"/>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2202489</v>
      </c>
      <c r="D4" s="228">
        <f t="shared" si="0"/>
        <v>2281311</v>
      </c>
      <c r="E4" s="228">
        <f t="shared" si="0"/>
        <v>2158276</v>
      </c>
      <c r="F4" s="228">
        <f t="shared" si="0"/>
        <v>2151739</v>
      </c>
      <c r="G4" s="228">
        <f t="shared" si="0"/>
        <v>1993311</v>
      </c>
      <c r="H4" s="228">
        <f t="shared" si="0"/>
        <v>2780037</v>
      </c>
      <c r="I4" s="198">
        <f t="shared" ref="I4:O4" si="1">I6+I11+I16+I18</f>
        <v>2826642</v>
      </c>
      <c r="J4" s="198">
        <f t="shared" si="1"/>
        <v>3007841.4661400001</v>
      </c>
      <c r="K4" s="198">
        <f t="shared" si="1"/>
        <v>3193238</v>
      </c>
      <c r="L4" s="198">
        <f t="shared" si="1"/>
        <v>3292918.8876800002</v>
      </c>
      <c r="M4" s="198">
        <f t="shared" si="1"/>
        <v>3259667</v>
      </c>
      <c r="N4" s="198">
        <f t="shared" si="1"/>
        <v>2634769.4496999998</v>
      </c>
      <c r="O4" s="198">
        <f t="shared" si="1"/>
        <v>2830085.8864599997</v>
      </c>
      <c r="P4" s="198">
        <f t="shared" ref="P4:Q4" si="2">P6+P11+P16+P18</f>
        <v>3117613.7409700002</v>
      </c>
      <c r="Q4" s="13">
        <f t="shared" si="2"/>
        <v>3076739.5</v>
      </c>
      <c r="R4" s="13">
        <f t="shared" ref="R4" si="3">R6+R11+R16+R18</f>
        <v>3225030.3</v>
      </c>
      <c r="S4" s="348">
        <f t="shared" ref="S4:T4" si="4">S6+S11+S16+S18</f>
        <v>3406557.12145</v>
      </c>
      <c r="T4" s="348">
        <f t="shared" si="4"/>
        <v>3596809.3367999997</v>
      </c>
      <c r="U4" s="348">
        <f t="shared" ref="U4" si="5">U6+U11+U16+U18</f>
        <v>3609316.7</v>
      </c>
    </row>
    <row r="5" spans="1:21">
      <c r="A5" s="14"/>
      <c r="B5" s="15"/>
      <c r="C5" s="229"/>
      <c r="D5" s="230"/>
      <c r="E5" s="229"/>
      <c r="F5" s="229"/>
      <c r="G5" s="27"/>
      <c r="H5" s="196"/>
      <c r="I5" s="196"/>
      <c r="J5" s="229"/>
      <c r="K5" s="229"/>
      <c r="L5" s="196"/>
      <c r="M5" s="196"/>
      <c r="N5" s="196"/>
      <c r="O5" s="196"/>
      <c r="P5" s="196"/>
      <c r="Q5" s="18"/>
      <c r="R5" s="18"/>
      <c r="S5" s="298"/>
      <c r="T5" s="298"/>
      <c r="U5" s="298"/>
    </row>
    <row r="6" spans="1:21">
      <c r="A6" s="19">
        <v>10</v>
      </c>
      <c r="B6" s="12" t="s">
        <v>6</v>
      </c>
      <c r="C6" s="198">
        <f t="shared" ref="C6:H6" si="6">C7+C8+C9</f>
        <v>1397988</v>
      </c>
      <c r="D6" s="198">
        <f t="shared" si="6"/>
        <v>1556773</v>
      </c>
      <c r="E6" s="198">
        <f t="shared" si="6"/>
        <v>1401897</v>
      </c>
      <c r="F6" s="198">
        <f t="shared" si="6"/>
        <v>1310017</v>
      </c>
      <c r="G6" s="198">
        <f t="shared" si="6"/>
        <v>1123044</v>
      </c>
      <c r="H6" s="198">
        <f t="shared" si="6"/>
        <v>2149532</v>
      </c>
      <c r="I6" s="198">
        <f t="shared" ref="I6:O6" si="7">I7+I8+I9</f>
        <v>2167831</v>
      </c>
      <c r="J6" s="198">
        <f t="shared" si="7"/>
        <v>2419138.9960500002</v>
      </c>
      <c r="K6" s="198">
        <f t="shared" si="7"/>
        <v>2552370</v>
      </c>
      <c r="L6" s="198">
        <f t="shared" si="7"/>
        <v>2604944.0869400003</v>
      </c>
      <c r="M6" s="198">
        <f t="shared" si="7"/>
        <v>2517841</v>
      </c>
      <c r="N6" s="198">
        <f t="shared" si="7"/>
        <v>1837477.50496</v>
      </c>
      <c r="O6" s="198">
        <f t="shared" si="7"/>
        <v>1958724.21034</v>
      </c>
      <c r="P6" s="198">
        <f t="shared" ref="P6" si="8">P7+P8+P9</f>
        <v>2238934.2376600001</v>
      </c>
      <c r="Q6" s="13">
        <f>Q7+Q8+Q9</f>
        <v>2018790.4000000001</v>
      </c>
      <c r="R6" s="13">
        <f>R7+R8+R9</f>
        <v>2161255.9</v>
      </c>
      <c r="S6" s="348">
        <f>S7+S8+S9</f>
        <v>2378553.8077500002</v>
      </c>
      <c r="T6" s="348">
        <f>T7+T8+T9</f>
        <v>2497617.97334</v>
      </c>
      <c r="U6" s="348">
        <f>U7+U8+U9</f>
        <v>2288256.8000000003</v>
      </c>
    </row>
    <row r="7" spans="1:21">
      <c r="A7" s="20" t="s">
        <v>7</v>
      </c>
      <c r="B7" s="21" t="s">
        <v>8</v>
      </c>
      <c r="C7" s="231">
        <f>832637+1</f>
        <v>832638</v>
      </c>
      <c r="D7" s="231">
        <v>1060619</v>
      </c>
      <c r="E7" s="231">
        <v>834892</v>
      </c>
      <c r="F7" s="231">
        <v>941360</v>
      </c>
      <c r="G7" s="231">
        <v>725296</v>
      </c>
      <c r="H7" s="231">
        <v>1513543</v>
      </c>
      <c r="I7" s="231">
        <v>1567662</v>
      </c>
      <c r="J7" s="236">
        <v>1890494</v>
      </c>
      <c r="K7" s="236">
        <v>2061380</v>
      </c>
      <c r="L7" s="196">
        <v>2043052.4547100004</v>
      </c>
      <c r="M7" s="196">
        <v>1884185</v>
      </c>
      <c r="N7" s="298">
        <v>1252114.66289</v>
      </c>
      <c r="O7" s="298">
        <v>1407807.7126699998</v>
      </c>
      <c r="P7" s="298">
        <v>1696159.4197</v>
      </c>
      <c r="Q7" s="302">
        <v>1258755.8</v>
      </c>
      <c r="R7" s="302">
        <v>1587915.8</v>
      </c>
      <c r="S7" s="298">
        <v>1691946.4947299999</v>
      </c>
      <c r="T7" s="298">
        <v>1757050.6500200001</v>
      </c>
      <c r="U7" s="298">
        <v>1576459.6</v>
      </c>
    </row>
    <row r="8" spans="1:21">
      <c r="A8" s="25">
        <v>102</v>
      </c>
      <c r="B8" s="26" t="s">
        <v>9</v>
      </c>
      <c r="C8" s="231">
        <v>404700</v>
      </c>
      <c r="D8" s="231">
        <v>377802</v>
      </c>
      <c r="E8" s="231">
        <v>359311</v>
      </c>
      <c r="F8" s="231">
        <v>238566</v>
      </c>
      <c r="G8" s="231">
        <v>264239</v>
      </c>
      <c r="H8" s="231">
        <f>519924+1</f>
        <v>519925</v>
      </c>
      <c r="I8" s="231">
        <v>486489</v>
      </c>
      <c r="J8" s="247">
        <v>355433.48343999992</v>
      </c>
      <c r="K8" s="247">
        <v>295248</v>
      </c>
      <c r="L8" s="199">
        <v>382983.56046000007</v>
      </c>
      <c r="M8" s="199">
        <v>444675</v>
      </c>
      <c r="N8" s="300">
        <v>430399.83481999999</v>
      </c>
      <c r="O8" s="300">
        <v>376190.26780999999</v>
      </c>
      <c r="P8" s="300">
        <v>353255.19650000002</v>
      </c>
      <c r="Q8" s="302">
        <v>568742</v>
      </c>
      <c r="R8" s="302">
        <v>368034.5</v>
      </c>
      <c r="S8" s="300">
        <v>481822.69448000006</v>
      </c>
      <c r="T8" s="300">
        <v>508742.36517</v>
      </c>
      <c r="U8" s="300">
        <v>491671.60000000003</v>
      </c>
    </row>
    <row r="9" spans="1:21">
      <c r="A9" s="25">
        <v>103</v>
      </c>
      <c r="B9" s="26" t="s">
        <v>10</v>
      </c>
      <c r="C9" s="231">
        <v>160650</v>
      </c>
      <c r="D9" s="231">
        <v>118352</v>
      </c>
      <c r="E9" s="231">
        <v>207694</v>
      </c>
      <c r="F9" s="231">
        <v>130091</v>
      </c>
      <c r="G9" s="231">
        <v>133509</v>
      </c>
      <c r="H9" s="231">
        <v>116064</v>
      </c>
      <c r="I9" s="231">
        <v>113680</v>
      </c>
      <c r="J9" s="247">
        <v>173211.51260999998</v>
      </c>
      <c r="K9" s="247">
        <v>195742</v>
      </c>
      <c r="L9" s="196">
        <v>178908.07176999998</v>
      </c>
      <c r="M9" s="196">
        <v>188981</v>
      </c>
      <c r="N9" s="298">
        <v>154963.00725</v>
      </c>
      <c r="O9" s="298">
        <v>174726.22985999999</v>
      </c>
      <c r="P9" s="298">
        <v>189519.62146000002</v>
      </c>
      <c r="Q9" s="302">
        <v>191292.6</v>
      </c>
      <c r="R9" s="302">
        <v>205305.60000000001</v>
      </c>
      <c r="S9" s="298">
        <v>204784.61854</v>
      </c>
      <c r="T9" s="298">
        <v>231824.95814999999</v>
      </c>
      <c r="U9" s="298">
        <v>220125.6</v>
      </c>
    </row>
    <row r="10" spans="1:21">
      <c r="A10" s="28"/>
      <c r="B10" s="29"/>
      <c r="C10" s="232"/>
      <c r="D10" s="233"/>
      <c r="E10" s="232"/>
      <c r="F10" s="232"/>
      <c r="G10" s="27"/>
      <c r="H10" s="196"/>
      <c r="I10" s="196"/>
      <c r="J10" s="232"/>
      <c r="K10" s="232"/>
      <c r="L10" s="196"/>
      <c r="M10" s="196"/>
      <c r="N10" s="196"/>
      <c r="O10" s="196"/>
      <c r="P10" s="196"/>
      <c r="Q10" s="18"/>
      <c r="R10" s="18"/>
      <c r="S10" s="298"/>
      <c r="T10" s="298"/>
      <c r="U10" s="298"/>
    </row>
    <row r="11" spans="1:21">
      <c r="A11" s="19">
        <v>11</v>
      </c>
      <c r="B11" s="12" t="s">
        <v>11</v>
      </c>
      <c r="C11" s="198">
        <f t="shared" ref="C11:H11" si="9">C12+C13+C14</f>
        <v>803690</v>
      </c>
      <c r="D11" s="198">
        <f t="shared" si="9"/>
        <v>724183</v>
      </c>
      <c r="E11" s="198">
        <f t="shared" si="9"/>
        <v>754175</v>
      </c>
      <c r="F11" s="198">
        <f t="shared" si="9"/>
        <v>841722</v>
      </c>
      <c r="G11" s="198">
        <f t="shared" si="9"/>
        <v>870267</v>
      </c>
      <c r="H11" s="198">
        <f t="shared" si="9"/>
        <v>630505</v>
      </c>
      <c r="I11" s="198">
        <f t="shared" ref="I11:O11" si="10">I12+I13+I14</f>
        <v>658811</v>
      </c>
      <c r="J11" s="198">
        <f t="shared" si="10"/>
        <v>588702.47008999996</v>
      </c>
      <c r="K11" s="198">
        <f t="shared" si="10"/>
        <v>640868</v>
      </c>
      <c r="L11" s="198">
        <f t="shared" si="10"/>
        <v>687974.80073999998</v>
      </c>
      <c r="M11" s="198">
        <f t="shared" si="10"/>
        <v>741826</v>
      </c>
      <c r="N11" s="198">
        <f t="shared" si="10"/>
        <v>797095.46739000001</v>
      </c>
      <c r="O11" s="198">
        <f t="shared" si="10"/>
        <v>871361.67611999996</v>
      </c>
      <c r="P11" s="198">
        <f t="shared" ref="P11:Q11" si="11">P12+P13+P14</f>
        <v>878679.50331000006</v>
      </c>
      <c r="Q11" s="13">
        <f t="shared" si="11"/>
        <v>1057949.0999999999</v>
      </c>
      <c r="R11" s="13">
        <f t="shared" ref="R11" si="12">R12+R13+R14</f>
        <v>1063774.3999999999</v>
      </c>
      <c r="S11" s="348">
        <f t="shared" ref="S11:T11" si="13">S12+S13+S14</f>
        <v>1028003.3136999999</v>
      </c>
      <c r="T11" s="348">
        <f t="shared" si="13"/>
        <v>1099191.3634599999</v>
      </c>
      <c r="U11" s="348">
        <f t="shared" ref="U11" si="14">U12+U13+U14</f>
        <v>1321059.9000000001</v>
      </c>
    </row>
    <row r="12" spans="1:21">
      <c r="A12" s="32">
        <v>114</v>
      </c>
      <c r="B12" s="21" t="s">
        <v>12</v>
      </c>
      <c r="C12" s="231">
        <v>198225</v>
      </c>
      <c r="D12" s="231">
        <v>196875</v>
      </c>
      <c r="E12" s="231">
        <v>267672</v>
      </c>
      <c r="F12" s="231">
        <v>302962</v>
      </c>
      <c r="G12" s="231">
        <v>316131</v>
      </c>
      <c r="H12" s="231">
        <v>62867</v>
      </c>
      <c r="I12" s="231">
        <v>53770</v>
      </c>
      <c r="J12" s="247">
        <v>53706.896339999999</v>
      </c>
      <c r="K12" s="247">
        <v>92708</v>
      </c>
      <c r="L12" s="196">
        <v>129700.12075999999</v>
      </c>
      <c r="M12" s="196">
        <v>177715</v>
      </c>
      <c r="N12" s="298">
        <v>217799.62826</v>
      </c>
      <c r="O12" s="298">
        <v>254896.92611999999</v>
      </c>
      <c r="P12" s="298">
        <v>262138.60969000001</v>
      </c>
      <c r="Q12" s="302">
        <v>527547.69999999995</v>
      </c>
      <c r="R12" s="302">
        <v>538502.1</v>
      </c>
      <c r="S12" s="298">
        <v>496534.95679999999</v>
      </c>
      <c r="T12" s="298">
        <v>319924.58964999998</v>
      </c>
      <c r="U12" s="298">
        <v>422633.4</v>
      </c>
    </row>
    <row r="13" spans="1:21">
      <c r="A13" s="25">
        <v>115</v>
      </c>
      <c r="B13" s="26" t="s">
        <v>13</v>
      </c>
      <c r="C13" s="231">
        <v>583900</v>
      </c>
      <c r="D13" s="231">
        <v>505762</v>
      </c>
      <c r="E13" s="231">
        <v>467298</v>
      </c>
      <c r="F13" s="231">
        <v>523973</v>
      </c>
      <c r="G13" s="231">
        <f>535465+1</f>
        <v>535466</v>
      </c>
      <c r="H13" s="231">
        <v>552603</v>
      </c>
      <c r="I13" s="231">
        <v>584913</v>
      </c>
      <c r="J13" s="247">
        <v>504303.89124999999</v>
      </c>
      <c r="K13" s="247">
        <v>508488</v>
      </c>
      <c r="L13" s="199">
        <v>515826.07912999997</v>
      </c>
      <c r="M13" s="199">
        <v>523006</v>
      </c>
      <c r="N13" s="300">
        <v>531467.09788000002</v>
      </c>
      <c r="O13" s="300">
        <v>546617.91209999996</v>
      </c>
      <c r="P13" s="300">
        <v>552000.27572000003</v>
      </c>
      <c r="Q13" s="302">
        <v>478112.1</v>
      </c>
      <c r="R13" s="302">
        <v>482844.69999999995</v>
      </c>
      <c r="S13" s="300">
        <v>502935.86599999998</v>
      </c>
      <c r="T13" s="300">
        <v>763198.24790999992</v>
      </c>
      <c r="U13" s="300">
        <v>883967.8</v>
      </c>
    </row>
    <row r="14" spans="1:21">
      <c r="A14" s="33" t="s">
        <v>14</v>
      </c>
      <c r="B14" s="34" t="s">
        <v>15</v>
      </c>
      <c r="C14" s="231">
        <v>21565</v>
      </c>
      <c r="D14" s="231">
        <v>21546</v>
      </c>
      <c r="E14" s="231">
        <v>19205</v>
      </c>
      <c r="F14" s="231">
        <v>14787</v>
      </c>
      <c r="G14" s="231">
        <v>18670</v>
      </c>
      <c r="H14" s="231">
        <v>15035</v>
      </c>
      <c r="I14" s="231">
        <v>20128</v>
      </c>
      <c r="J14" s="247">
        <v>30691.682499999999</v>
      </c>
      <c r="K14" s="247">
        <v>39672</v>
      </c>
      <c r="L14" s="196">
        <v>42448.600850000003</v>
      </c>
      <c r="M14" s="196">
        <v>41105</v>
      </c>
      <c r="N14" s="298">
        <v>47828.741249999999</v>
      </c>
      <c r="O14" s="298">
        <v>69846.837899999999</v>
      </c>
      <c r="P14" s="298">
        <v>64540.617899999997</v>
      </c>
      <c r="Q14" s="302">
        <v>52289.3</v>
      </c>
      <c r="R14" s="302">
        <v>42427.6</v>
      </c>
      <c r="S14" s="298">
        <v>28532.490900000001</v>
      </c>
      <c r="T14" s="298">
        <v>16068.525900000001</v>
      </c>
      <c r="U14" s="298">
        <v>14458.7</v>
      </c>
    </row>
    <row r="15" spans="1:21">
      <c r="A15" s="35"/>
      <c r="B15" s="36"/>
      <c r="C15" s="232"/>
      <c r="D15" s="233"/>
      <c r="E15" s="232"/>
      <c r="F15" s="232"/>
      <c r="G15" s="27"/>
      <c r="H15" s="200"/>
      <c r="I15" s="234"/>
      <c r="J15" s="232"/>
      <c r="K15" s="232"/>
      <c r="L15" s="200"/>
      <c r="M15" s="200"/>
      <c r="N15" s="305"/>
      <c r="O15" s="305"/>
      <c r="P15" s="305"/>
      <c r="Q15" s="308"/>
      <c r="R15" s="308"/>
      <c r="S15" s="305"/>
      <c r="T15" s="305"/>
      <c r="U15" s="305"/>
    </row>
    <row r="16" spans="1:21">
      <c r="A16" s="11">
        <v>12</v>
      </c>
      <c r="B16" s="38" t="s">
        <v>16</v>
      </c>
      <c r="C16" s="198">
        <v>811</v>
      </c>
      <c r="D16" s="198">
        <v>355</v>
      </c>
      <c r="E16" s="198">
        <v>2204</v>
      </c>
      <c r="F16" s="198">
        <v>0</v>
      </c>
      <c r="G16" s="198">
        <v>0</v>
      </c>
      <c r="H16" s="198">
        <v>0</v>
      </c>
      <c r="I16" s="198">
        <v>0</v>
      </c>
      <c r="J16" s="198">
        <v>0</v>
      </c>
      <c r="K16" s="198">
        <v>0</v>
      </c>
      <c r="L16" s="198">
        <v>0</v>
      </c>
      <c r="M16" s="198">
        <v>0</v>
      </c>
      <c r="N16" s="313">
        <v>196.47735</v>
      </c>
      <c r="O16" s="313">
        <v>0</v>
      </c>
      <c r="P16" s="313"/>
      <c r="Q16" s="309">
        <v>0</v>
      </c>
      <c r="R16" s="309">
        <v>0</v>
      </c>
      <c r="S16" s="388">
        <v>0</v>
      </c>
      <c r="T16" s="388">
        <v>0</v>
      </c>
      <c r="U16" s="388">
        <v>0</v>
      </c>
    </row>
    <row r="17" spans="1:21">
      <c r="A17" s="39"/>
      <c r="B17" s="40"/>
      <c r="C17" s="229"/>
      <c r="D17" s="230"/>
      <c r="E17" s="229"/>
      <c r="F17" s="229"/>
      <c r="G17" s="235"/>
      <c r="H17" s="196"/>
      <c r="I17" s="196"/>
      <c r="J17" s="229"/>
      <c r="K17" s="229"/>
      <c r="L17" s="196"/>
      <c r="M17" s="196"/>
      <c r="N17" s="298"/>
      <c r="O17" s="298"/>
      <c r="P17" s="298"/>
      <c r="Q17" s="311"/>
      <c r="R17" s="311"/>
      <c r="S17" s="298"/>
      <c r="T17" s="298"/>
      <c r="U17" s="298"/>
    </row>
    <row r="18" spans="1:21">
      <c r="A18" s="11">
        <v>13</v>
      </c>
      <c r="B18" s="38" t="s">
        <v>17</v>
      </c>
      <c r="C18" s="198">
        <v>0</v>
      </c>
      <c r="D18" s="198">
        <v>0</v>
      </c>
      <c r="E18" s="198">
        <v>0</v>
      </c>
      <c r="F18" s="198">
        <v>0</v>
      </c>
      <c r="G18" s="198">
        <v>0</v>
      </c>
      <c r="H18" s="198">
        <v>0</v>
      </c>
      <c r="I18" s="198">
        <v>0</v>
      </c>
      <c r="J18" s="198">
        <v>0</v>
      </c>
      <c r="K18" s="198">
        <v>0</v>
      </c>
      <c r="L18" s="198">
        <v>0</v>
      </c>
      <c r="M18" s="198">
        <v>0</v>
      </c>
      <c r="N18" s="313">
        <v>0</v>
      </c>
      <c r="O18" s="313">
        <v>0</v>
      </c>
      <c r="P18" s="313"/>
      <c r="Q18" s="309">
        <v>0</v>
      </c>
      <c r="R18" s="309">
        <v>0</v>
      </c>
      <c r="S18" s="388">
        <v>0</v>
      </c>
      <c r="T18" s="388">
        <v>0</v>
      </c>
      <c r="U18" s="388">
        <v>0</v>
      </c>
    </row>
    <row r="19" spans="1:21">
      <c r="A19" s="41"/>
      <c r="B19" s="42"/>
      <c r="C19" s="236"/>
      <c r="D19" s="237"/>
      <c r="E19" s="236"/>
      <c r="F19" s="236"/>
      <c r="G19" s="24"/>
      <c r="H19" s="196"/>
      <c r="I19" s="196"/>
      <c r="J19" s="236"/>
      <c r="K19" s="236"/>
      <c r="L19" s="196"/>
      <c r="M19" s="196"/>
      <c r="N19" s="298"/>
      <c r="O19" s="298"/>
      <c r="P19" s="298"/>
      <c r="Q19" s="311"/>
      <c r="R19" s="311"/>
      <c r="S19" s="298"/>
      <c r="T19" s="298"/>
      <c r="U19" s="298"/>
    </row>
    <row r="20" spans="1:21">
      <c r="A20" s="43"/>
      <c r="B20" s="36"/>
      <c r="C20" s="232"/>
      <c r="D20" s="233"/>
      <c r="E20" s="232"/>
      <c r="F20" s="232"/>
      <c r="G20" s="238"/>
      <c r="H20" s="200"/>
      <c r="I20" s="234"/>
      <c r="J20" s="232"/>
      <c r="K20" s="232"/>
      <c r="L20" s="200"/>
      <c r="M20" s="200"/>
      <c r="N20" s="305"/>
      <c r="O20" s="305"/>
      <c r="P20" s="305"/>
      <c r="Q20" s="308"/>
      <c r="R20" s="308"/>
      <c r="S20" s="305"/>
      <c r="T20" s="305"/>
      <c r="U20" s="305"/>
    </row>
    <row r="21" spans="1:21">
      <c r="A21" s="11">
        <v>2</v>
      </c>
      <c r="B21" s="38" t="s">
        <v>18</v>
      </c>
      <c r="C21" s="198">
        <f t="shared" ref="C21:H21" si="15">C23+C28+C30+C32+C34</f>
        <v>2202489</v>
      </c>
      <c r="D21" s="198">
        <f t="shared" si="15"/>
        <v>2281311</v>
      </c>
      <c r="E21" s="198">
        <f t="shared" si="15"/>
        <v>2158276</v>
      </c>
      <c r="F21" s="198">
        <f t="shared" si="15"/>
        <v>2151739</v>
      </c>
      <c r="G21" s="198">
        <f t="shared" si="15"/>
        <v>1993311</v>
      </c>
      <c r="H21" s="198">
        <f t="shared" si="15"/>
        <v>2780037</v>
      </c>
      <c r="I21" s="198">
        <f t="shared" ref="I21:O21" si="16">I23+I28+I30+I32+I34</f>
        <v>2826642</v>
      </c>
      <c r="J21" s="198">
        <f t="shared" si="16"/>
        <v>3007840.7642700002</v>
      </c>
      <c r="K21" s="198">
        <f t="shared" si="16"/>
        <v>3193238</v>
      </c>
      <c r="L21" s="198">
        <f t="shared" si="16"/>
        <v>3292918.8876799997</v>
      </c>
      <c r="M21" s="198">
        <f t="shared" si="16"/>
        <v>3259667</v>
      </c>
      <c r="N21" s="198">
        <f t="shared" si="16"/>
        <v>3027915.27397</v>
      </c>
      <c r="O21" s="198">
        <f t="shared" si="16"/>
        <v>2830085.8864599997</v>
      </c>
      <c r="P21" s="198">
        <f t="shared" ref="P21:Q21" si="17">P23+P28+P30+P32+P34</f>
        <v>3117613.7409699997</v>
      </c>
      <c r="Q21" s="13">
        <f t="shared" si="17"/>
        <v>3076739.3</v>
      </c>
      <c r="R21" s="13">
        <f t="shared" ref="R21:S21" si="18">R23+R28+R30+R32+R34</f>
        <v>3225030.3</v>
      </c>
      <c r="S21" s="348">
        <f t="shared" si="18"/>
        <v>3406557.12145</v>
      </c>
      <c r="T21" s="348">
        <f t="shared" ref="T21" si="19">T23+T28+T30+T32+T34</f>
        <v>3596809.3367999997</v>
      </c>
      <c r="U21" s="348">
        <f t="shared" ref="U21" si="20">U23+U28+U30+U32+U34</f>
        <v>3609316.9</v>
      </c>
    </row>
    <row r="22" spans="1:21">
      <c r="A22" s="44"/>
      <c r="B22" s="45"/>
      <c r="C22" s="229"/>
      <c r="D22" s="230"/>
      <c r="E22" s="229"/>
      <c r="F22" s="229"/>
      <c r="G22" s="24"/>
      <c r="H22" s="196"/>
      <c r="I22" s="196"/>
      <c r="J22" s="229"/>
      <c r="K22" s="229"/>
      <c r="L22" s="196"/>
      <c r="M22" s="196"/>
      <c r="N22" s="196"/>
      <c r="O22" s="196"/>
      <c r="P22" s="196"/>
      <c r="Q22" s="18"/>
      <c r="R22" s="18"/>
      <c r="S22" s="298"/>
      <c r="T22" s="298"/>
      <c r="U22" s="298"/>
    </row>
    <row r="23" spans="1:21">
      <c r="A23" s="46">
        <v>20</v>
      </c>
      <c r="B23" s="47" t="s">
        <v>19</v>
      </c>
      <c r="C23" s="198">
        <f>SUM(C24:C26)</f>
        <v>1762813</v>
      </c>
      <c r="D23" s="198">
        <f>SUM(D24:D26)</f>
        <v>1650031</v>
      </c>
      <c r="E23" s="198">
        <f>SUM(E24:E26)</f>
        <v>1652344</v>
      </c>
      <c r="F23" s="198">
        <f t="shared" ref="F23:L23" si="21">F24+F25+F26</f>
        <v>1659283</v>
      </c>
      <c r="G23" s="198">
        <f t="shared" si="21"/>
        <v>1389120</v>
      </c>
      <c r="H23" s="198">
        <f t="shared" si="21"/>
        <v>1434012</v>
      </c>
      <c r="I23" s="198">
        <f t="shared" si="21"/>
        <v>1369343</v>
      </c>
      <c r="J23" s="198">
        <f t="shared" si="21"/>
        <v>1441206.3937300001</v>
      </c>
      <c r="K23" s="198">
        <f t="shared" si="21"/>
        <v>1269464</v>
      </c>
      <c r="L23" s="198">
        <f t="shared" si="21"/>
        <v>1283010.7127799999</v>
      </c>
      <c r="M23" s="198">
        <f>M24+M25+M26</f>
        <v>1351574</v>
      </c>
      <c r="N23" s="198">
        <f>N24+N25+N26</f>
        <v>1328718.25556</v>
      </c>
      <c r="O23" s="198">
        <f>O24+O25+O26</f>
        <v>1354881.3712299997</v>
      </c>
      <c r="P23" s="198">
        <f>P24+P25+P26</f>
        <v>1694881.5771699999</v>
      </c>
      <c r="Q23" s="13">
        <f t="shared" ref="Q23:R23" si="22">Q24+Q25+Q26</f>
        <v>1855857.5999999999</v>
      </c>
      <c r="R23" s="13">
        <f t="shared" si="22"/>
        <v>1908016.5</v>
      </c>
      <c r="S23" s="348">
        <f t="shared" ref="S23:T23" si="23">S24+S25+S26</f>
        <v>2125787.5573100001</v>
      </c>
      <c r="T23" s="348">
        <f t="shared" si="23"/>
        <v>2160578.43267</v>
      </c>
      <c r="U23" s="348">
        <f t="shared" ref="U23" si="24">U24+U25+U26</f>
        <v>1942988.7999999998</v>
      </c>
    </row>
    <row r="24" spans="1:21">
      <c r="A24" s="48" t="s">
        <v>20</v>
      </c>
      <c r="B24" s="49" t="s">
        <v>21</v>
      </c>
      <c r="C24" s="231">
        <v>479101</v>
      </c>
      <c r="D24" s="231">
        <v>335821</v>
      </c>
      <c r="E24" s="231">
        <v>303158</v>
      </c>
      <c r="F24" s="231">
        <v>466781</v>
      </c>
      <c r="G24" s="231">
        <v>220208</v>
      </c>
      <c r="H24" s="231">
        <v>287200</v>
      </c>
      <c r="I24" s="231">
        <v>258100</v>
      </c>
      <c r="J24" s="236">
        <v>306728</v>
      </c>
      <c r="K24" s="236">
        <v>319697</v>
      </c>
      <c r="L24" s="196">
        <v>354654.46400000004</v>
      </c>
      <c r="M24" s="196">
        <v>385568</v>
      </c>
      <c r="N24" s="298">
        <v>340261.54945000005</v>
      </c>
      <c r="O24" s="298">
        <v>351075.43164999993</v>
      </c>
      <c r="P24" s="298">
        <v>337366.58421999996</v>
      </c>
      <c r="Q24" s="302">
        <v>392446.9</v>
      </c>
      <c r="R24" s="302">
        <v>407015</v>
      </c>
      <c r="S24" s="298">
        <v>419470.33724000002</v>
      </c>
      <c r="T24" s="298">
        <v>458530.69378000003</v>
      </c>
      <c r="U24" s="298">
        <v>415913.6</v>
      </c>
    </row>
    <row r="25" spans="1:21">
      <c r="A25" s="50">
        <v>202</v>
      </c>
      <c r="B25" s="51" t="s">
        <v>22</v>
      </c>
      <c r="C25" s="231">
        <v>1180840</v>
      </c>
      <c r="D25" s="231">
        <v>1190572</v>
      </c>
      <c r="E25" s="231">
        <v>1161467</v>
      </c>
      <c r="F25" s="231">
        <f>1060894+1</f>
        <v>1060895</v>
      </c>
      <c r="G25" s="231">
        <v>1062019</v>
      </c>
      <c r="H25" s="231">
        <v>1030478</v>
      </c>
      <c r="I25" s="231">
        <v>995111</v>
      </c>
      <c r="J25" s="247">
        <v>999379.16625000001</v>
      </c>
      <c r="K25" s="247">
        <v>800532</v>
      </c>
      <c r="L25" s="199">
        <v>780141.51402999996</v>
      </c>
      <c r="M25" s="199">
        <v>815153</v>
      </c>
      <c r="N25" s="300">
        <v>818658.62763</v>
      </c>
      <c r="O25" s="300">
        <v>826464.19539999997</v>
      </c>
      <c r="P25" s="300">
        <v>1178468.83347</v>
      </c>
      <c r="Q25" s="302">
        <v>1181072.3999999999</v>
      </c>
      <c r="R25" s="302">
        <v>1181072.3999999999</v>
      </c>
      <c r="S25" s="300">
        <v>1381072.4051999999</v>
      </c>
      <c r="T25" s="300">
        <v>1381064.85925</v>
      </c>
      <c r="U25" s="300">
        <v>1130961.7</v>
      </c>
    </row>
    <row r="26" spans="1:21">
      <c r="A26" s="50">
        <v>205</v>
      </c>
      <c r="B26" s="52" t="s">
        <v>23</v>
      </c>
      <c r="C26" s="231">
        <v>102872</v>
      </c>
      <c r="D26" s="231">
        <v>123638</v>
      </c>
      <c r="E26" s="231">
        <v>187719</v>
      </c>
      <c r="F26" s="231">
        <v>131607</v>
      </c>
      <c r="G26" s="231">
        <v>106893</v>
      </c>
      <c r="H26" s="231">
        <v>116334</v>
      </c>
      <c r="I26" s="231">
        <v>116132</v>
      </c>
      <c r="J26" s="247">
        <v>135099.22748</v>
      </c>
      <c r="K26" s="247">
        <v>149235</v>
      </c>
      <c r="L26" s="196">
        <v>148214.73475</v>
      </c>
      <c r="M26" s="196">
        <v>150853</v>
      </c>
      <c r="N26" s="298">
        <v>169798.07848</v>
      </c>
      <c r="O26" s="298">
        <v>177341.74418000001</v>
      </c>
      <c r="P26" s="298">
        <v>179046.15947999997</v>
      </c>
      <c r="Q26" s="302">
        <v>282338.3</v>
      </c>
      <c r="R26" s="302">
        <v>319929.09999999998</v>
      </c>
      <c r="S26" s="298">
        <v>325244.81487</v>
      </c>
      <c r="T26" s="298">
        <v>320982.87964</v>
      </c>
      <c r="U26" s="298">
        <v>396113.5</v>
      </c>
    </row>
    <row r="27" spans="1:21">
      <c r="A27" s="35"/>
      <c r="B27" s="36"/>
      <c r="C27" s="232"/>
      <c r="D27" s="233"/>
      <c r="E27" s="232"/>
      <c r="F27" s="232"/>
      <c r="G27" s="238"/>
      <c r="H27" s="200"/>
      <c r="I27" s="234"/>
      <c r="J27" s="232"/>
      <c r="K27" s="232"/>
      <c r="L27" s="200"/>
      <c r="M27" s="200"/>
      <c r="N27" s="305"/>
      <c r="O27" s="305"/>
      <c r="P27" s="305"/>
      <c r="Q27" s="308"/>
      <c r="R27" s="308"/>
      <c r="S27" s="305"/>
      <c r="T27" s="305"/>
      <c r="U27" s="305"/>
    </row>
    <row r="28" spans="1:21">
      <c r="A28" s="11">
        <v>23</v>
      </c>
      <c r="B28" s="38" t="s">
        <v>24</v>
      </c>
      <c r="C28" s="198">
        <v>9303</v>
      </c>
      <c r="D28" s="198">
        <v>15832</v>
      </c>
      <c r="E28" s="198">
        <v>26426</v>
      </c>
      <c r="F28" s="198">
        <v>29591</v>
      </c>
      <c r="G28" s="198">
        <v>52608</v>
      </c>
      <c r="H28" s="198">
        <v>36505</v>
      </c>
      <c r="I28" s="198">
        <v>28511</v>
      </c>
      <c r="J28" s="198">
        <v>14488.576379999999</v>
      </c>
      <c r="K28" s="198">
        <v>37064</v>
      </c>
      <c r="L28" s="198">
        <v>49400.664480000007</v>
      </c>
      <c r="M28" s="198">
        <v>35866</v>
      </c>
      <c r="N28" s="313">
        <v>32829.100579999998</v>
      </c>
      <c r="O28" s="313">
        <v>36890.888639999997</v>
      </c>
      <c r="P28" s="313">
        <v>33898.669800000003</v>
      </c>
      <c r="Q28" s="309"/>
      <c r="R28" s="309"/>
      <c r="S28" s="388"/>
      <c r="T28" s="388"/>
      <c r="U28" s="388"/>
    </row>
    <row r="29" spans="1:21">
      <c r="A29" s="53"/>
      <c r="B29" s="40"/>
      <c r="C29" s="229"/>
      <c r="D29" s="230"/>
      <c r="E29" s="229"/>
      <c r="F29" s="229"/>
      <c r="G29" s="213"/>
      <c r="H29" s="196"/>
      <c r="I29" s="196"/>
      <c r="J29" s="229"/>
      <c r="K29" s="229"/>
      <c r="L29" s="196"/>
      <c r="M29" s="196"/>
      <c r="N29" s="298"/>
      <c r="O29" s="298"/>
      <c r="P29" s="298"/>
      <c r="Q29" s="311"/>
      <c r="R29" s="311"/>
      <c r="S29" s="298"/>
      <c r="T29" s="298"/>
      <c r="U29" s="298"/>
    </row>
    <row r="30" spans="1:21">
      <c r="A30" s="11">
        <v>24</v>
      </c>
      <c r="B30" s="38" t="s">
        <v>25</v>
      </c>
      <c r="C30" s="198">
        <v>187215</v>
      </c>
      <c r="D30" s="198">
        <v>380059</v>
      </c>
      <c r="E30" s="198">
        <v>363468</v>
      </c>
      <c r="F30" s="198">
        <v>400531</v>
      </c>
      <c r="G30" s="198">
        <v>429375</v>
      </c>
      <c r="H30" s="198">
        <v>474947</v>
      </c>
      <c r="I30" s="198">
        <v>427982</v>
      </c>
      <c r="J30" s="198">
        <v>410356.44475000002</v>
      </c>
      <c r="K30" s="198">
        <v>370463</v>
      </c>
      <c r="L30" s="198">
        <v>402711.11189999996</v>
      </c>
      <c r="M30" s="198">
        <v>471484</v>
      </c>
      <c r="N30" s="313">
        <v>476832.49067000003</v>
      </c>
      <c r="O30" s="313">
        <v>463317.85871</v>
      </c>
      <c r="P30" s="313">
        <v>471397.0318</v>
      </c>
      <c r="Q30" s="309">
        <v>305831.30000000005</v>
      </c>
      <c r="R30" s="309">
        <v>301796.30000000005</v>
      </c>
      <c r="S30" s="388">
        <v>308256.32013999997</v>
      </c>
      <c r="T30" s="388">
        <v>323437.64093999995</v>
      </c>
      <c r="U30" s="388">
        <v>356847.30000000005</v>
      </c>
    </row>
    <row r="31" spans="1:21">
      <c r="A31" s="44"/>
      <c r="B31" s="45"/>
      <c r="C31" s="231"/>
      <c r="D31" s="230"/>
      <c r="E31" s="229"/>
      <c r="F31" s="229"/>
      <c r="G31" s="198"/>
      <c r="H31" s="196"/>
      <c r="I31" s="196"/>
      <c r="J31" s="229"/>
      <c r="K31" s="229"/>
      <c r="L31" s="196"/>
      <c r="M31" s="196"/>
      <c r="N31" s="298"/>
      <c r="O31" s="298"/>
      <c r="P31" s="298"/>
      <c r="Q31" s="311"/>
      <c r="R31" s="311"/>
      <c r="S31" s="298"/>
      <c r="T31" s="298"/>
      <c r="U31" s="298"/>
    </row>
    <row r="32" spans="1:21">
      <c r="A32" s="54">
        <v>28</v>
      </c>
      <c r="B32" s="47" t="s">
        <v>26</v>
      </c>
      <c r="C32" s="198">
        <v>47542</v>
      </c>
      <c r="D32" s="198">
        <v>49884</v>
      </c>
      <c r="E32" s="198">
        <v>47340</v>
      </c>
      <c r="F32" s="198">
        <v>41873</v>
      </c>
      <c r="G32" s="198">
        <v>43455</v>
      </c>
      <c r="H32" s="198">
        <v>46739</v>
      </c>
      <c r="I32" s="198">
        <v>48465</v>
      </c>
      <c r="J32" s="198">
        <v>57432.295160000001</v>
      </c>
      <c r="K32" s="198">
        <v>91350</v>
      </c>
      <c r="L32" s="198">
        <v>126949.79075</v>
      </c>
      <c r="M32" s="198">
        <v>160756</v>
      </c>
      <c r="N32" s="313">
        <v>194165.33744</v>
      </c>
      <c r="O32" s="313">
        <v>223569.98795000001</v>
      </c>
      <c r="P32" s="313">
        <v>233826.56868</v>
      </c>
      <c r="Q32" s="309">
        <v>23376.5</v>
      </c>
      <c r="R32" s="309">
        <v>26502.1</v>
      </c>
      <c r="S32" s="388">
        <v>27266.082539999999</v>
      </c>
      <c r="T32" s="388">
        <v>30476.60715</v>
      </c>
      <c r="U32" s="388">
        <v>31305.200000000001</v>
      </c>
    </row>
    <row r="33" spans="1:21">
      <c r="A33" s="53"/>
      <c r="B33" s="40"/>
      <c r="C33" s="229"/>
      <c r="D33" s="230"/>
      <c r="E33" s="229"/>
      <c r="F33" s="229"/>
      <c r="G33" s="198"/>
      <c r="H33" s="196"/>
      <c r="I33" s="196"/>
      <c r="J33" s="229"/>
      <c r="K33" s="229"/>
      <c r="L33" s="196"/>
      <c r="M33" s="196"/>
      <c r="N33" s="298"/>
      <c r="O33" s="298"/>
      <c r="P33" s="298"/>
      <c r="Q33" s="311"/>
      <c r="R33" s="311"/>
      <c r="S33" s="298"/>
      <c r="T33" s="298"/>
      <c r="U33" s="298"/>
    </row>
    <row r="34" spans="1:21">
      <c r="A34" s="11">
        <v>29</v>
      </c>
      <c r="B34" s="38" t="s">
        <v>27</v>
      </c>
      <c r="C34" s="198">
        <v>195616</v>
      </c>
      <c r="D34" s="198">
        <v>185505</v>
      </c>
      <c r="E34" s="198">
        <v>68698</v>
      </c>
      <c r="F34" s="198">
        <v>20461</v>
      </c>
      <c r="G34" s="198">
        <v>78753</v>
      </c>
      <c r="H34" s="198">
        <v>787834</v>
      </c>
      <c r="I34" s="198">
        <v>952341</v>
      </c>
      <c r="J34" s="198">
        <v>1084357.05425</v>
      </c>
      <c r="K34" s="198">
        <v>1424897</v>
      </c>
      <c r="L34" s="198">
        <v>1430846.6077700001</v>
      </c>
      <c r="M34" s="198">
        <v>1239987</v>
      </c>
      <c r="N34" s="313">
        <v>995370.08972000005</v>
      </c>
      <c r="O34" s="313">
        <v>751425.77992999996</v>
      </c>
      <c r="P34" s="313">
        <v>683609.89352000004</v>
      </c>
      <c r="Q34" s="309">
        <v>891673.9</v>
      </c>
      <c r="R34" s="309">
        <v>988715.4</v>
      </c>
      <c r="S34" s="388">
        <v>945247.16145999997</v>
      </c>
      <c r="T34" s="388">
        <v>1082316.65604</v>
      </c>
      <c r="U34" s="388">
        <v>1278175.6000000001</v>
      </c>
    </row>
    <row r="35" spans="1:21">
      <c r="A35" s="41"/>
      <c r="B35" s="42"/>
      <c r="C35" s="56"/>
      <c r="D35" s="56"/>
      <c r="E35" s="56"/>
      <c r="F35" s="56"/>
      <c r="G35" s="56"/>
      <c r="H35" s="56"/>
      <c r="I35" s="165"/>
      <c r="J35" s="195"/>
      <c r="K35" s="195"/>
      <c r="L35" s="167"/>
      <c r="M35" s="167"/>
      <c r="N35" s="167"/>
      <c r="O35" s="167"/>
      <c r="P35" s="167"/>
      <c r="Q35" s="311"/>
      <c r="R35" s="311"/>
      <c r="S35" s="360"/>
      <c r="T35" s="360"/>
      <c r="U35" s="360"/>
    </row>
    <row r="36" spans="1:21">
      <c r="A36" s="170"/>
      <c r="B36" s="60"/>
      <c r="C36" s="171"/>
      <c r="D36" s="172"/>
      <c r="E36" s="171"/>
      <c r="F36" s="173"/>
      <c r="G36" s="174"/>
      <c r="H36" s="174"/>
      <c r="I36" s="175"/>
      <c r="J36" s="5"/>
      <c r="K36" s="5"/>
      <c r="L36" s="225"/>
      <c r="M36" s="225"/>
      <c r="N36" s="225"/>
      <c r="O36" s="225"/>
      <c r="P36" s="225"/>
      <c r="Q36" s="341"/>
      <c r="R36" s="341"/>
      <c r="S36" s="362"/>
      <c r="T36" s="362"/>
      <c r="U36" s="362"/>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3.140625"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63</v>
      </c>
      <c r="C2" s="79"/>
      <c r="D2" s="79"/>
      <c r="E2" s="79"/>
      <c r="F2" s="79"/>
      <c r="G2" s="79"/>
      <c r="H2" s="79"/>
      <c r="I2" s="79"/>
      <c r="J2" s="349"/>
      <c r="K2" s="349"/>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1695352</v>
      </c>
      <c r="D4" s="228">
        <f t="shared" si="0"/>
        <v>1647868</v>
      </c>
      <c r="E4" s="228">
        <f t="shared" si="0"/>
        <v>1712916</v>
      </c>
      <c r="F4" s="228">
        <f t="shared" si="0"/>
        <v>1670816</v>
      </c>
      <c r="G4" s="228">
        <f t="shared" si="0"/>
        <v>1742586</v>
      </c>
      <c r="H4" s="228">
        <f t="shared" si="0"/>
        <v>1623521</v>
      </c>
      <c r="I4" s="198">
        <f t="shared" ref="I4:O4" si="1">I6+I11+I16+I18</f>
        <v>1560003</v>
      </c>
      <c r="J4" s="198">
        <f t="shared" si="1"/>
        <v>1635376</v>
      </c>
      <c r="K4" s="198">
        <f t="shared" si="1"/>
        <v>1568755</v>
      </c>
      <c r="L4" s="198">
        <f t="shared" si="1"/>
        <v>1663155</v>
      </c>
      <c r="M4" s="198">
        <f t="shared" si="1"/>
        <v>1636054</v>
      </c>
      <c r="N4" s="198">
        <f t="shared" si="1"/>
        <v>2240206.57289</v>
      </c>
      <c r="O4" s="198">
        <f t="shared" si="1"/>
        <v>2557957.5460000001</v>
      </c>
      <c r="P4" s="198">
        <f t="shared" ref="P4:Q4" si="2">P6+P11+P16+P18</f>
        <v>2672572.5470000003</v>
      </c>
      <c r="Q4" s="13">
        <f t="shared" si="2"/>
        <v>2648040.3099999996</v>
      </c>
      <c r="R4" s="13">
        <f t="shared" ref="R4" si="3">R6+R11+R16+R18</f>
        <v>2555658.1</v>
      </c>
      <c r="S4" s="348">
        <f t="shared" ref="S4:T4" si="4">S6+S11+S16+S18</f>
        <v>2740727.1</v>
      </c>
      <c r="T4" s="348">
        <f t="shared" si="4"/>
        <v>2742174.7590000005</v>
      </c>
      <c r="U4" s="348">
        <f t="shared" ref="U4" si="5">U6+U11+U16+U18</f>
        <v>2856479.7</v>
      </c>
    </row>
    <row r="5" spans="1:21">
      <c r="A5" s="14"/>
      <c r="B5" s="15"/>
      <c r="C5" s="229"/>
      <c r="D5" s="230"/>
      <c r="E5" s="229"/>
      <c r="F5" s="229"/>
      <c r="G5" s="27"/>
      <c r="H5" s="196"/>
      <c r="I5" s="196"/>
      <c r="J5" s="196"/>
      <c r="K5" s="196"/>
      <c r="L5" s="196"/>
      <c r="M5" s="196"/>
      <c r="N5" s="196"/>
      <c r="O5" s="196"/>
      <c r="P5" s="196"/>
      <c r="Q5" s="18"/>
      <c r="R5" s="18"/>
      <c r="S5" s="298"/>
      <c r="T5" s="298"/>
      <c r="U5" s="298"/>
    </row>
    <row r="6" spans="1:21">
      <c r="A6" s="19">
        <v>10</v>
      </c>
      <c r="B6" s="12" t="s">
        <v>6</v>
      </c>
      <c r="C6" s="198">
        <f t="shared" ref="C6:H6" si="6">C7+C8+C9</f>
        <v>473647</v>
      </c>
      <c r="D6" s="198">
        <f t="shared" si="6"/>
        <v>453658</v>
      </c>
      <c r="E6" s="198">
        <f t="shared" si="6"/>
        <v>558101</v>
      </c>
      <c r="F6" s="198">
        <f t="shared" si="6"/>
        <v>540845</v>
      </c>
      <c r="G6" s="198">
        <f t="shared" si="6"/>
        <v>662705</v>
      </c>
      <c r="H6" s="198">
        <f t="shared" si="6"/>
        <v>1079387</v>
      </c>
      <c r="I6" s="198">
        <f t="shared" ref="I6:N6" si="7">I7+I8+I9</f>
        <v>998351</v>
      </c>
      <c r="J6" s="198">
        <f t="shared" si="7"/>
        <v>1105210</v>
      </c>
      <c r="K6" s="198">
        <f t="shared" si="7"/>
        <v>1006430</v>
      </c>
      <c r="L6" s="198">
        <f t="shared" si="7"/>
        <v>1062263</v>
      </c>
      <c r="M6" s="198">
        <f t="shared" si="7"/>
        <v>1001664</v>
      </c>
      <c r="N6" s="198">
        <f t="shared" si="7"/>
        <v>1559882.0128900001</v>
      </c>
      <c r="O6" s="198">
        <f t="shared" ref="O6:T6" si="8">O7+O8+O9</f>
        <v>1081273.1000000001</v>
      </c>
      <c r="P6" s="198">
        <f t="shared" si="8"/>
        <v>1151149.9670000002</v>
      </c>
      <c r="Q6" s="13">
        <f t="shared" si="8"/>
        <v>1105841.71</v>
      </c>
      <c r="R6" s="13">
        <f t="shared" si="8"/>
        <v>985746.4</v>
      </c>
      <c r="S6" s="348">
        <f t="shared" si="8"/>
        <v>1110291.1000000001</v>
      </c>
      <c r="T6" s="348">
        <f t="shared" si="8"/>
        <v>1125353.2320000001</v>
      </c>
      <c r="U6" s="348">
        <f t="shared" ref="U6" si="9">U7+U8+U9</f>
        <v>1169811.9000000001</v>
      </c>
    </row>
    <row r="7" spans="1:21">
      <c r="A7" s="20" t="s">
        <v>7</v>
      </c>
      <c r="B7" s="21" t="s">
        <v>8</v>
      </c>
      <c r="C7" s="231">
        <v>288093</v>
      </c>
      <c r="D7" s="231">
        <v>265092</v>
      </c>
      <c r="E7" s="231">
        <v>353072</v>
      </c>
      <c r="F7" s="231">
        <v>354941</v>
      </c>
      <c r="G7" s="231">
        <v>447230</v>
      </c>
      <c r="H7" s="231">
        <v>810859</v>
      </c>
      <c r="I7" s="231">
        <v>639937</v>
      </c>
      <c r="J7" s="196">
        <v>732212</v>
      </c>
      <c r="K7" s="196">
        <v>699192</v>
      </c>
      <c r="L7" s="196">
        <v>768408</v>
      </c>
      <c r="M7" s="196">
        <v>695690</v>
      </c>
      <c r="N7" s="298">
        <v>1252114.66289</v>
      </c>
      <c r="O7" s="298">
        <v>656889.1</v>
      </c>
      <c r="P7" s="298">
        <v>680224.42</v>
      </c>
      <c r="Q7" s="302">
        <v>675956.3</v>
      </c>
      <c r="R7" s="302">
        <v>522795.9</v>
      </c>
      <c r="S7" s="298">
        <v>491016</v>
      </c>
      <c r="T7" s="298">
        <v>566875.64</v>
      </c>
      <c r="U7" s="298">
        <v>612668.80000000005</v>
      </c>
    </row>
    <row r="8" spans="1:21">
      <c r="A8" s="25">
        <v>102</v>
      </c>
      <c r="B8" s="26" t="s">
        <v>9</v>
      </c>
      <c r="C8" s="231">
        <v>94831</v>
      </c>
      <c r="D8" s="231">
        <v>91888</v>
      </c>
      <c r="E8" s="231">
        <v>91254</v>
      </c>
      <c r="F8" s="231">
        <v>95407</v>
      </c>
      <c r="G8" s="231">
        <v>100730</v>
      </c>
      <c r="H8" s="231">
        <v>136029</v>
      </c>
      <c r="I8" s="231">
        <v>222260</v>
      </c>
      <c r="J8" s="199">
        <v>216965</v>
      </c>
      <c r="K8" s="199">
        <v>196018</v>
      </c>
      <c r="L8" s="199">
        <v>220537</v>
      </c>
      <c r="M8" s="199">
        <v>225229</v>
      </c>
      <c r="N8" s="300">
        <v>212277.85</v>
      </c>
      <c r="O8" s="300">
        <v>328645.39999999997</v>
      </c>
      <c r="P8" s="300">
        <v>359834.79700000002</v>
      </c>
      <c r="Q8" s="302">
        <v>339405.45</v>
      </c>
      <c r="R8" s="302">
        <v>352976.4</v>
      </c>
      <c r="S8" s="300">
        <v>375903.5</v>
      </c>
      <c r="T8" s="300">
        <v>429196.28500000003</v>
      </c>
      <c r="U8" s="300">
        <v>435518.8</v>
      </c>
    </row>
    <row r="9" spans="1:21">
      <c r="A9" s="25">
        <v>103</v>
      </c>
      <c r="B9" s="26" t="s">
        <v>10</v>
      </c>
      <c r="C9" s="231">
        <v>90723</v>
      </c>
      <c r="D9" s="231">
        <v>96678</v>
      </c>
      <c r="E9" s="231">
        <v>113775</v>
      </c>
      <c r="F9" s="231">
        <v>90497</v>
      </c>
      <c r="G9" s="231">
        <v>114745</v>
      </c>
      <c r="H9" s="231">
        <v>132499</v>
      </c>
      <c r="I9" s="231">
        <v>136154</v>
      </c>
      <c r="J9" s="196">
        <v>156033</v>
      </c>
      <c r="K9" s="196">
        <v>111220</v>
      </c>
      <c r="L9" s="196">
        <v>73318</v>
      </c>
      <c r="M9" s="196">
        <v>80745</v>
      </c>
      <c r="N9" s="298">
        <v>95489.5</v>
      </c>
      <c r="O9" s="298">
        <v>95738.6</v>
      </c>
      <c r="P9" s="298">
        <v>111090.75</v>
      </c>
      <c r="Q9" s="302">
        <v>90479.96</v>
      </c>
      <c r="R9" s="302">
        <v>109974.1</v>
      </c>
      <c r="S9" s="298">
        <v>243371.6</v>
      </c>
      <c r="T9" s="298">
        <v>129281.307</v>
      </c>
      <c r="U9" s="298">
        <v>121624.3</v>
      </c>
    </row>
    <row r="10" spans="1:21">
      <c r="A10" s="28"/>
      <c r="B10" s="29"/>
      <c r="C10" s="232"/>
      <c r="D10" s="233"/>
      <c r="E10" s="232"/>
      <c r="F10" s="232"/>
      <c r="G10" s="27"/>
      <c r="H10" s="196"/>
      <c r="I10" s="196"/>
      <c r="J10" s="196"/>
      <c r="K10" s="196"/>
      <c r="L10" s="196"/>
      <c r="M10" s="196"/>
      <c r="N10" s="196"/>
      <c r="O10" s="196"/>
      <c r="P10" s="196"/>
      <c r="Q10" s="18"/>
      <c r="R10" s="18"/>
      <c r="S10" s="298"/>
      <c r="T10" s="298"/>
      <c r="U10" s="298"/>
    </row>
    <row r="11" spans="1:21">
      <c r="A11" s="19">
        <v>11</v>
      </c>
      <c r="B11" s="12" t="s">
        <v>11</v>
      </c>
      <c r="C11" s="198">
        <f t="shared" ref="C11:H11" si="10">C12+C13+C14</f>
        <v>523312</v>
      </c>
      <c r="D11" s="198">
        <f t="shared" si="10"/>
        <v>487740</v>
      </c>
      <c r="E11" s="198">
        <f t="shared" si="10"/>
        <v>447660</v>
      </c>
      <c r="F11" s="198">
        <f t="shared" si="10"/>
        <v>459650</v>
      </c>
      <c r="G11" s="198">
        <f t="shared" si="10"/>
        <v>511114</v>
      </c>
      <c r="H11" s="198">
        <f t="shared" si="10"/>
        <v>527154</v>
      </c>
      <c r="I11" s="198">
        <f t="shared" ref="I11:N11" si="11">I12+I13+I14</f>
        <v>542621</v>
      </c>
      <c r="J11" s="198">
        <f t="shared" si="11"/>
        <v>484363</v>
      </c>
      <c r="K11" s="198">
        <f t="shared" si="11"/>
        <v>517085</v>
      </c>
      <c r="L11" s="198">
        <f t="shared" si="11"/>
        <v>554898</v>
      </c>
      <c r="M11" s="198">
        <f t="shared" si="11"/>
        <v>579587</v>
      </c>
      <c r="N11" s="198">
        <f t="shared" si="11"/>
        <v>619515.96</v>
      </c>
      <c r="O11" s="198">
        <f>O12+O13+O14</f>
        <v>1476684.446</v>
      </c>
      <c r="P11" s="198">
        <f>P12+P13+P14</f>
        <v>1521422.58</v>
      </c>
      <c r="Q11" s="13">
        <f t="shared" ref="Q11" si="12">Q12+Q13+Q14</f>
        <v>1542198.5999999999</v>
      </c>
      <c r="R11" s="13">
        <f t="shared" ref="R11" si="13">R12+R13+R14</f>
        <v>1569911.7000000002</v>
      </c>
      <c r="S11" s="348">
        <f t="shared" ref="S11:T11" si="14">S12+S13+S14</f>
        <v>1630436</v>
      </c>
      <c r="T11" s="348">
        <f t="shared" si="14"/>
        <v>1616821.5270000002</v>
      </c>
      <c r="U11" s="348">
        <f t="shared" ref="U11" si="15">U12+U13+U14</f>
        <v>1686667.7999999998</v>
      </c>
    </row>
    <row r="12" spans="1:21">
      <c r="A12" s="32">
        <v>114</v>
      </c>
      <c r="B12" s="21" t="s">
        <v>12</v>
      </c>
      <c r="C12" s="231">
        <v>158142</v>
      </c>
      <c r="D12" s="231">
        <v>160737</v>
      </c>
      <c r="E12" s="231">
        <v>160466</v>
      </c>
      <c r="F12" s="231">
        <v>160119</v>
      </c>
      <c r="G12" s="231">
        <v>163007</v>
      </c>
      <c r="H12" s="231">
        <v>169487</v>
      </c>
      <c r="I12" s="231">
        <v>193112</v>
      </c>
      <c r="J12" s="196">
        <v>224878</v>
      </c>
      <c r="K12" s="196">
        <v>266014</v>
      </c>
      <c r="L12" s="196">
        <v>301153</v>
      </c>
      <c r="M12" s="196">
        <v>327747</v>
      </c>
      <c r="N12" s="298">
        <v>369665</v>
      </c>
      <c r="O12" s="298">
        <v>1339628.3999999999</v>
      </c>
      <c r="P12" s="298">
        <v>1382057.7</v>
      </c>
      <c r="Q12" s="302">
        <v>1404629.4</v>
      </c>
      <c r="R12" s="302">
        <v>1431362.3</v>
      </c>
      <c r="S12" s="298">
        <v>1489412.7</v>
      </c>
      <c r="T12" s="298">
        <v>1322189.3770000001</v>
      </c>
      <c r="U12" s="298">
        <v>1393074.4</v>
      </c>
    </row>
    <row r="13" spans="1:21">
      <c r="A13" s="25">
        <v>115</v>
      </c>
      <c r="B13" s="26" t="s">
        <v>13</v>
      </c>
      <c r="C13" s="231">
        <v>227639</v>
      </c>
      <c r="D13" s="231">
        <v>199752</v>
      </c>
      <c r="E13" s="231">
        <v>170694</v>
      </c>
      <c r="F13" s="231">
        <v>169468</v>
      </c>
      <c r="G13" s="231">
        <v>232575</v>
      </c>
      <c r="H13" s="231">
        <v>251799</v>
      </c>
      <c r="I13" s="231">
        <v>251020</v>
      </c>
      <c r="J13" s="199">
        <v>247357</v>
      </c>
      <c r="K13" s="199">
        <v>249380</v>
      </c>
      <c r="L13" s="199">
        <v>251515</v>
      </c>
      <c r="M13" s="199">
        <v>251840</v>
      </c>
      <c r="N13" s="300">
        <v>249850.96</v>
      </c>
      <c r="O13" s="300">
        <v>137056.046</v>
      </c>
      <c r="P13" s="300">
        <v>139364.88</v>
      </c>
      <c r="Q13" s="302">
        <v>137569.20000000001</v>
      </c>
      <c r="R13" s="302">
        <v>140071.79999999999</v>
      </c>
      <c r="S13" s="300">
        <v>141023.29999999999</v>
      </c>
      <c r="T13" s="300">
        <v>294632.15000000002</v>
      </c>
      <c r="U13" s="300">
        <v>293593.40000000002</v>
      </c>
    </row>
    <row r="14" spans="1:21">
      <c r="A14" s="33" t="s">
        <v>14</v>
      </c>
      <c r="B14" s="34" t="s">
        <v>15</v>
      </c>
      <c r="C14" s="231">
        <v>137531</v>
      </c>
      <c r="D14" s="231">
        <v>127251</v>
      </c>
      <c r="E14" s="231">
        <v>116500</v>
      </c>
      <c r="F14" s="231">
        <v>130063</v>
      </c>
      <c r="G14" s="231">
        <v>115532</v>
      </c>
      <c r="H14" s="231">
        <v>105868</v>
      </c>
      <c r="I14" s="231">
        <v>98489</v>
      </c>
      <c r="J14" s="196">
        <v>12128</v>
      </c>
      <c r="K14" s="196">
        <v>1691</v>
      </c>
      <c r="L14" s="196">
        <v>2230</v>
      </c>
      <c r="M14" s="196">
        <v>0</v>
      </c>
      <c r="N14" s="298">
        <v>0</v>
      </c>
      <c r="O14" s="298">
        <v>0</v>
      </c>
      <c r="P14" s="298">
        <v>0</v>
      </c>
      <c r="Q14" s="302">
        <v>0</v>
      </c>
      <c r="R14" s="302">
        <v>-1522.4</v>
      </c>
      <c r="S14" s="298">
        <v>0</v>
      </c>
      <c r="T14" s="298">
        <v>0</v>
      </c>
      <c r="U14" s="298">
        <v>0</v>
      </c>
    </row>
    <row r="15" spans="1:21">
      <c r="A15" s="35"/>
      <c r="B15" s="36"/>
      <c r="C15" s="232"/>
      <c r="D15" s="233"/>
      <c r="E15" s="232"/>
      <c r="F15" s="232"/>
      <c r="G15" s="27"/>
      <c r="H15" s="200"/>
      <c r="I15" s="234"/>
      <c r="J15" s="200"/>
      <c r="K15" s="200"/>
      <c r="L15" s="200"/>
      <c r="M15" s="200"/>
      <c r="N15" s="305"/>
      <c r="O15" s="305"/>
      <c r="P15" s="305"/>
      <c r="Q15" s="308"/>
      <c r="R15" s="308"/>
      <c r="S15" s="305"/>
      <c r="T15" s="305"/>
      <c r="U15" s="305"/>
    </row>
    <row r="16" spans="1:21">
      <c r="A16" s="11">
        <v>12</v>
      </c>
      <c r="B16" s="38" t="s">
        <v>16</v>
      </c>
      <c r="C16" s="198">
        <v>50263</v>
      </c>
      <c r="D16" s="198">
        <v>44634</v>
      </c>
      <c r="E16" s="198">
        <v>35835</v>
      </c>
      <c r="F16" s="198">
        <v>35708</v>
      </c>
      <c r="G16" s="198">
        <v>25727</v>
      </c>
      <c r="H16" s="198">
        <v>16980</v>
      </c>
      <c r="I16" s="198">
        <v>19031</v>
      </c>
      <c r="J16" s="198">
        <v>45803</v>
      </c>
      <c r="K16" s="198">
        <v>45240</v>
      </c>
      <c r="L16" s="198">
        <v>45994</v>
      </c>
      <c r="M16" s="198">
        <v>54803</v>
      </c>
      <c r="N16" s="313">
        <v>60808.6</v>
      </c>
      <c r="O16" s="313">
        <v>0</v>
      </c>
      <c r="P16" s="313">
        <v>0</v>
      </c>
      <c r="Q16" s="309">
        <v>0</v>
      </c>
      <c r="R16" s="309">
        <v>0</v>
      </c>
      <c r="S16" s="388">
        <v>0</v>
      </c>
      <c r="T16" s="388">
        <v>0</v>
      </c>
      <c r="U16" s="388">
        <v>0</v>
      </c>
    </row>
    <row r="17" spans="1:21">
      <c r="A17" s="39"/>
      <c r="B17" s="40"/>
      <c r="C17" s="229"/>
      <c r="D17" s="230"/>
      <c r="E17" s="229"/>
      <c r="F17" s="229"/>
      <c r="G17" s="235"/>
      <c r="H17" s="196"/>
      <c r="I17" s="196"/>
      <c r="J17" s="196"/>
      <c r="K17" s="196"/>
      <c r="L17" s="196"/>
      <c r="M17" s="196"/>
      <c r="N17" s="298"/>
      <c r="O17" s="298"/>
      <c r="P17" s="298"/>
      <c r="Q17" s="311"/>
      <c r="R17" s="311"/>
      <c r="S17" s="298"/>
      <c r="T17" s="298"/>
      <c r="U17" s="298"/>
    </row>
    <row r="18" spans="1:21">
      <c r="A18" s="11">
        <v>13</v>
      </c>
      <c r="B18" s="38" t="s">
        <v>17</v>
      </c>
      <c r="C18" s="198">
        <v>648130</v>
      </c>
      <c r="D18" s="198">
        <v>661836</v>
      </c>
      <c r="E18" s="198">
        <v>671320</v>
      </c>
      <c r="F18" s="198">
        <v>634613</v>
      </c>
      <c r="G18" s="198">
        <v>543040</v>
      </c>
      <c r="H18" s="198">
        <v>0</v>
      </c>
      <c r="I18" s="198">
        <v>0</v>
      </c>
      <c r="J18" s="198">
        <v>0</v>
      </c>
      <c r="K18" s="198">
        <v>0</v>
      </c>
      <c r="L18" s="198">
        <v>0</v>
      </c>
      <c r="M18" s="198">
        <v>0</v>
      </c>
      <c r="N18" s="313">
        <v>0</v>
      </c>
      <c r="O18" s="313">
        <v>0</v>
      </c>
      <c r="P18" s="313">
        <v>0</v>
      </c>
      <c r="Q18" s="309">
        <v>0</v>
      </c>
      <c r="R18" s="309">
        <v>0</v>
      </c>
      <c r="S18" s="388">
        <v>0</v>
      </c>
      <c r="T18" s="388">
        <v>0</v>
      </c>
      <c r="U18" s="388">
        <v>0</v>
      </c>
    </row>
    <row r="19" spans="1:21">
      <c r="A19" s="41"/>
      <c r="B19" s="42"/>
      <c r="C19" s="236"/>
      <c r="D19" s="237"/>
      <c r="E19" s="236"/>
      <c r="F19" s="236"/>
      <c r="G19" s="24"/>
      <c r="H19" s="196"/>
      <c r="I19" s="196"/>
      <c r="J19" s="196"/>
      <c r="K19" s="196"/>
      <c r="L19" s="196"/>
      <c r="M19" s="196"/>
      <c r="N19" s="298"/>
      <c r="O19" s="298"/>
      <c r="P19" s="298"/>
      <c r="Q19" s="311"/>
      <c r="R19" s="311"/>
      <c r="S19" s="298"/>
      <c r="T19" s="298"/>
      <c r="U19" s="298"/>
    </row>
    <row r="20" spans="1:21">
      <c r="A20" s="43"/>
      <c r="B20" s="36"/>
      <c r="C20" s="232"/>
      <c r="D20" s="233"/>
      <c r="E20" s="232"/>
      <c r="F20" s="232"/>
      <c r="G20" s="238"/>
      <c r="H20" s="200"/>
      <c r="I20" s="234"/>
      <c r="J20" s="200"/>
      <c r="K20" s="200"/>
      <c r="L20" s="200"/>
      <c r="M20" s="200"/>
      <c r="N20" s="305"/>
      <c r="O20" s="305"/>
      <c r="P20" s="305"/>
      <c r="Q20" s="308"/>
      <c r="R20" s="308"/>
      <c r="S20" s="305"/>
      <c r="T20" s="305"/>
      <c r="U20" s="305"/>
    </row>
    <row r="21" spans="1:21">
      <c r="A21" s="11">
        <v>2</v>
      </c>
      <c r="B21" s="38" t="s">
        <v>18</v>
      </c>
      <c r="C21" s="198">
        <f t="shared" ref="C21:H21" si="16">C23+C28+C30+C32+C34</f>
        <v>1695352</v>
      </c>
      <c r="D21" s="198">
        <f>D23+D28+D30+D32+D34</f>
        <v>1647868</v>
      </c>
      <c r="E21" s="198">
        <f t="shared" si="16"/>
        <v>1712916</v>
      </c>
      <c r="F21" s="198">
        <f t="shared" si="16"/>
        <v>1670816</v>
      </c>
      <c r="G21" s="198">
        <f t="shared" si="16"/>
        <v>1742586</v>
      </c>
      <c r="H21" s="198">
        <f t="shared" si="16"/>
        <v>1623521</v>
      </c>
      <c r="I21" s="198">
        <f t="shared" ref="I21:N21" si="17">I23+I28+I30+I32+I34</f>
        <v>1560003</v>
      </c>
      <c r="J21" s="198">
        <f t="shared" si="17"/>
        <v>1635376</v>
      </c>
      <c r="K21" s="198">
        <f t="shared" si="17"/>
        <v>1568755</v>
      </c>
      <c r="L21" s="198">
        <f t="shared" si="17"/>
        <v>1663155</v>
      </c>
      <c r="M21" s="198">
        <f t="shared" si="17"/>
        <v>1636054</v>
      </c>
      <c r="N21" s="198">
        <f t="shared" si="17"/>
        <v>1537363.45</v>
      </c>
      <c r="O21" s="198">
        <f>O23+O28+O30+O32+O34</f>
        <v>2557957.7199999997</v>
      </c>
      <c r="P21" s="198">
        <f>P23+P28+P30+P32+P34</f>
        <v>2672572.5720000002</v>
      </c>
      <c r="Q21" s="13">
        <f t="shared" ref="Q21:R21" si="18">Q23+Q28+Q30+Q32+Q34</f>
        <v>2648040.2999999998</v>
      </c>
      <c r="R21" s="13">
        <f t="shared" si="18"/>
        <v>2555658.1</v>
      </c>
      <c r="S21" s="348">
        <f t="shared" ref="S21:T21" si="19">S23+S28+S30+S32+S34</f>
        <v>2740727</v>
      </c>
      <c r="T21" s="348">
        <f t="shared" si="19"/>
        <v>2742174.7590000001</v>
      </c>
      <c r="U21" s="348">
        <f t="shared" ref="U21" si="20">U23+U28+U30+U32+U34</f>
        <v>2856479.5129999998</v>
      </c>
    </row>
    <row r="22" spans="1:21">
      <c r="A22" s="44"/>
      <c r="B22" s="45"/>
      <c r="C22" s="229"/>
      <c r="D22" s="230"/>
      <c r="E22" s="229"/>
      <c r="F22" s="229"/>
      <c r="G22" s="24"/>
      <c r="H22" s="196"/>
      <c r="I22" s="196"/>
      <c r="J22" s="196"/>
      <c r="K22" s="196"/>
      <c r="L22" s="196"/>
      <c r="M22" s="196"/>
      <c r="N22" s="196"/>
      <c r="O22" s="196"/>
      <c r="P22" s="196"/>
      <c r="Q22" s="18"/>
      <c r="R22" s="18"/>
      <c r="S22" s="298"/>
      <c r="T22" s="298"/>
      <c r="U22" s="298"/>
    </row>
    <row r="23" spans="1:21">
      <c r="A23" s="46">
        <v>20</v>
      </c>
      <c r="B23" s="47" t="s">
        <v>19</v>
      </c>
      <c r="C23" s="198">
        <f t="shared" ref="C23:H23" si="21">C24+C25+C26</f>
        <v>1512545</v>
      </c>
      <c r="D23" s="198">
        <f t="shared" si="21"/>
        <v>1474099</v>
      </c>
      <c r="E23" s="198">
        <f t="shared" si="21"/>
        <v>1544540</v>
      </c>
      <c r="F23" s="198">
        <f t="shared" si="21"/>
        <v>1444782</v>
      </c>
      <c r="G23" s="198">
        <f t="shared" si="21"/>
        <v>1546298</v>
      </c>
      <c r="H23" s="198">
        <f t="shared" si="21"/>
        <v>1411422</v>
      </c>
      <c r="I23" s="198">
        <f t="shared" ref="I23:N23" si="22">I24+I25+I26</f>
        <v>1273608</v>
      </c>
      <c r="J23" s="198">
        <f t="shared" si="22"/>
        <v>1245664</v>
      </c>
      <c r="K23" s="198">
        <f t="shared" si="22"/>
        <v>1011145</v>
      </c>
      <c r="L23" s="198">
        <f t="shared" si="22"/>
        <v>900662</v>
      </c>
      <c r="M23" s="198">
        <f t="shared" si="22"/>
        <v>786313</v>
      </c>
      <c r="N23" s="198">
        <f t="shared" si="22"/>
        <v>735920.95</v>
      </c>
      <c r="O23" s="198">
        <f>O24+O25+O26</f>
        <v>1057364.5899999999</v>
      </c>
      <c r="P23" s="198">
        <f>P24+P25+P26</f>
        <v>1262220.94</v>
      </c>
      <c r="Q23" s="13">
        <f t="shared" ref="Q23:R23" si="23">Q24+Q25+Q26</f>
        <v>1378137.8</v>
      </c>
      <c r="R23" s="13">
        <f t="shared" si="23"/>
        <v>2351699.5</v>
      </c>
      <c r="S23" s="348">
        <f t="shared" ref="S23:T23" si="24">S24+S25+S26</f>
        <v>2526963.4</v>
      </c>
      <c r="T23" s="348">
        <f t="shared" si="24"/>
        <v>2510719.0419999999</v>
      </c>
      <c r="U23" s="348">
        <f t="shared" ref="U23" si="25">U24+U25+U26</f>
        <v>2537040.5999999996</v>
      </c>
    </row>
    <row r="24" spans="1:21">
      <c r="A24" s="48" t="s">
        <v>20</v>
      </c>
      <c r="B24" s="49" t="s">
        <v>21</v>
      </c>
      <c r="C24" s="231">
        <v>165051</v>
      </c>
      <c r="D24" s="231">
        <v>206528</v>
      </c>
      <c r="E24" s="231">
        <v>237028</v>
      </c>
      <c r="F24" s="231">
        <v>154290</v>
      </c>
      <c r="G24" s="231">
        <v>176741</v>
      </c>
      <c r="H24" s="231">
        <v>178672</v>
      </c>
      <c r="I24" s="231">
        <v>156897</v>
      </c>
      <c r="J24" s="196">
        <v>180207</v>
      </c>
      <c r="K24" s="196">
        <v>203686</v>
      </c>
      <c r="L24" s="196">
        <v>207010</v>
      </c>
      <c r="M24" s="196">
        <v>279590</v>
      </c>
      <c r="N24" s="298">
        <v>213059.4</v>
      </c>
      <c r="O24" s="298">
        <v>286241.17</v>
      </c>
      <c r="P24" s="298">
        <v>254994</v>
      </c>
      <c r="Q24" s="302">
        <v>244780.80000000002</v>
      </c>
      <c r="R24" s="302">
        <v>358198.6</v>
      </c>
      <c r="S24" s="298">
        <v>531510.19999999995</v>
      </c>
      <c r="T24" s="298">
        <v>426735.80799999996</v>
      </c>
      <c r="U24" s="298">
        <v>478627.5</v>
      </c>
    </row>
    <row r="25" spans="1:21">
      <c r="A25" s="50">
        <v>202</v>
      </c>
      <c r="B25" s="51" t="s">
        <v>22</v>
      </c>
      <c r="C25" s="231">
        <v>1301284</v>
      </c>
      <c r="D25" s="231">
        <v>1203513</v>
      </c>
      <c r="E25" s="231">
        <v>1249162</v>
      </c>
      <c r="F25" s="231">
        <v>1229163</v>
      </c>
      <c r="G25" s="231">
        <v>1249859</v>
      </c>
      <c r="H25" s="231">
        <v>1102006</v>
      </c>
      <c r="I25" s="231">
        <v>988331</v>
      </c>
      <c r="J25" s="199">
        <v>939575</v>
      </c>
      <c r="K25" s="199">
        <v>676546</v>
      </c>
      <c r="L25" s="199">
        <v>577426</v>
      </c>
      <c r="M25" s="199">
        <v>390689</v>
      </c>
      <c r="N25" s="300">
        <v>384245.25</v>
      </c>
      <c r="O25" s="300">
        <v>545917.52</v>
      </c>
      <c r="P25" s="300">
        <v>752586.14</v>
      </c>
      <c r="Q25" s="302">
        <v>856820.2</v>
      </c>
      <c r="R25" s="302">
        <v>1790776.6</v>
      </c>
      <c r="S25" s="300">
        <v>1878362.6</v>
      </c>
      <c r="T25" s="300">
        <v>1950941.781</v>
      </c>
      <c r="U25" s="300">
        <v>1941195.3</v>
      </c>
    </row>
    <row r="26" spans="1:21">
      <c r="A26" s="50">
        <v>205</v>
      </c>
      <c r="B26" s="52" t="s">
        <v>23</v>
      </c>
      <c r="C26" s="231">
        <v>46210</v>
      </c>
      <c r="D26" s="231">
        <v>64058</v>
      </c>
      <c r="E26" s="231">
        <v>58350</v>
      </c>
      <c r="F26" s="231">
        <v>61329</v>
      </c>
      <c r="G26" s="231">
        <v>119698</v>
      </c>
      <c r="H26" s="231">
        <v>130744</v>
      </c>
      <c r="I26" s="231">
        <v>128380</v>
      </c>
      <c r="J26" s="196">
        <v>125882</v>
      </c>
      <c r="K26" s="196">
        <v>130913</v>
      </c>
      <c r="L26" s="196">
        <v>116226</v>
      </c>
      <c r="M26" s="196">
        <v>116034</v>
      </c>
      <c r="N26" s="298">
        <v>138616.29999999999</v>
      </c>
      <c r="O26" s="298">
        <v>225205.9</v>
      </c>
      <c r="P26" s="298">
        <v>254640.8</v>
      </c>
      <c r="Q26" s="302">
        <v>276536.8</v>
      </c>
      <c r="R26" s="302">
        <v>202724.3</v>
      </c>
      <c r="S26" s="298">
        <v>117090.6</v>
      </c>
      <c r="T26" s="298">
        <v>133041.45300000001</v>
      </c>
      <c r="U26" s="298">
        <v>117217.8</v>
      </c>
    </row>
    <row r="27" spans="1:21">
      <c r="A27" s="35"/>
      <c r="B27" s="36"/>
      <c r="C27" s="232"/>
      <c r="D27" s="233"/>
      <c r="E27" s="232"/>
      <c r="F27" s="232"/>
      <c r="G27" s="238"/>
      <c r="H27" s="200"/>
      <c r="I27" s="234"/>
      <c r="J27" s="200"/>
      <c r="K27" s="200"/>
      <c r="L27" s="200"/>
      <c r="M27" s="200"/>
      <c r="N27" s="305"/>
      <c r="O27" s="305"/>
      <c r="P27" s="305"/>
      <c r="Q27" s="308"/>
      <c r="R27" s="308"/>
      <c r="S27" s="305"/>
      <c r="T27" s="305"/>
      <c r="U27" s="305"/>
    </row>
    <row r="28" spans="1:21">
      <c r="A28" s="11">
        <v>23</v>
      </c>
      <c r="B28" s="38" t="s">
        <v>24</v>
      </c>
      <c r="C28" s="198">
        <v>37465</v>
      </c>
      <c r="D28" s="198">
        <v>41465</v>
      </c>
      <c r="E28" s="198">
        <v>43819</v>
      </c>
      <c r="F28" s="198">
        <v>44824</v>
      </c>
      <c r="G28" s="198">
        <v>46585</v>
      </c>
      <c r="H28" s="198">
        <v>48382</v>
      </c>
      <c r="I28" s="198">
        <v>50686</v>
      </c>
      <c r="J28" s="198">
        <v>56867</v>
      </c>
      <c r="K28" s="198">
        <v>59560</v>
      </c>
      <c r="L28" s="198">
        <v>63559</v>
      </c>
      <c r="M28" s="198">
        <v>67188</v>
      </c>
      <c r="N28" s="313">
        <v>67917.7</v>
      </c>
      <c r="O28" s="313">
        <v>0</v>
      </c>
      <c r="P28" s="313">
        <v>0</v>
      </c>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80177</v>
      </c>
      <c r="D30" s="198">
        <v>72573</v>
      </c>
      <c r="E30" s="198">
        <v>67982</v>
      </c>
      <c r="F30" s="198">
        <v>112389</v>
      </c>
      <c r="G30" s="198">
        <v>84056</v>
      </c>
      <c r="H30" s="198">
        <v>83483</v>
      </c>
      <c r="I30" s="198">
        <v>87625</v>
      </c>
      <c r="J30" s="198">
        <v>95049</v>
      </c>
      <c r="K30" s="198">
        <v>125540</v>
      </c>
      <c r="L30" s="198">
        <v>125160</v>
      </c>
      <c r="M30" s="198">
        <v>141187</v>
      </c>
      <c r="N30" s="313">
        <v>83411.600000000006</v>
      </c>
      <c r="O30" s="313">
        <v>467282.93</v>
      </c>
      <c r="P30" s="313">
        <v>498542.07</v>
      </c>
      <c r="Q30" s="309">
        <v>497727.1</v>
      </c>
      <c r="R30" s="309">
        <v>35478.6</v>
      </c>
      <c r="S30" s="388">
        <v>26930.3</v>
      </c>
      <c r="T30" s="388">
        <v>26101.227999999999</v>
      </c>
      <c r="U30" s="388">
        <v>24266.149000000001</v>
      </c>
    </row>
    <row r="31" spans="1:21">
      <c r="A31" s="44"/>
      <c r="B31" s="45"/>
      <c r="C31" s="231"/>
      <c r="D31" s="230"/>
      <c r="E31" s="229"/>
      <c r="F31" s="229"/>
      <c r="G31" s="198"/>
      <c r="H31" s="196"/>
      <c r="I31" s="196"/>
      <c r="J31" s="196"/>
      <c r="K31" s="196"/>
      <c r="L31" s="196"/>
      <c r="M31" s="196"/>
      <c r="N31" s="298"/>
      <c r="O31" s="298"/>
      <c r="P31" s="298"/>
      <c r="Q31" s="311"/>
      <c r="R31" s="311"/>
      <c r="S31" s="298"/>
      <c r="T31" s="298"/>
      <c r="U31" s="298"/>
    </row>
    <row r="32" spans="1:21">
      <c r="A32" s="54">
        <v>28</v>
      </c>
      <c r="B32" s="47" t="s">
        <v>26</v>
      </c>
      <c r="C32" s="198">
        <v>65165</v>
      </c>
      <c r="D32" s="198">
        <v>59731</v>
      </c>
      <c r="E32" s="198">
        <v>56575</v>
      </c>
      <c r="F32" s="198">
        <v>68821</v>
      </c>
      <c r="G32" s="198">
        <v>65647</v>
      </c>
      <c r="H32" s="198">
        <v>60261</v>
      </c>
      <c r="I32" s="198">
        <v>66378</v>
      </c>
      <c r="J32" s="198">
        <v>79350</v>
      </c>
      <c r="K32" s="198">
        <v>91627</v>
      </c>
      <c r="L32" s="198">
        <v>100981</v>
      </c>
      <c r="M32" s="198">
        <v>89085</v>
      </c>
      <c r="N32" s="313">
        <v>78559.399999999994</v>
      </c>
      <c r="O32" s="313">
        <v>89342.3</v>
      </c>
      <c r="P32" s="313">
        <v>89187.991999999998</v>
      </c>
      <c r="Q32" s="309">
        <v>84408.1</v>
      </c>
      <c r="R32" s="309">
        <v>93943.5</v>
      </c>
      <c r="S32" s="388">
        <v>91984.7</v>
      </c>
      <c r="T32" s="388">
        <v>88991.85</v>
      </c>
      <c r="U32" s="388">
        <v>93837.114000000001</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0</v>
      </c>
      <c r="D34" s="198">
        <v>0</v>
      </c>
      <c r="E34" s="198">
        <v>0</v>
      </c>
      <c r="F34" s="198">
        <v>0</v>
      </c>
      <c r="G34" s="198">
        <v>0</v>
      </c>
      <c r="H34" s="198">
        <v>19973</v>
      </c>
      <c r="I34" s="198">
        <v>81706</v>
      </c>
      <c r="J34" s="198">
        <v>158446</v>
      </c>
      <c r="K34" s="198">
        <v>280883</v>
      </c>
      <c r="L34" s="198">
        <v>472793</v>
      </c>
      <c r="M34" s="198">
        <v>552281</v>
      </c>
      <c r="N34" s="313">
        <v>571553.80000000005</v>
      </c>
      <c r="O34" s="313">
        <v>943967.9</v>
      </c>
      <c r="P34" s="313">
        <v>822621.57</v>
      </c>
      <c r="Q34" s="309">
        <v>687767.3</v>
      </c>
      <c r="R34" s="309">
        <v>74536.5</v>
      </c>
      <c r="S34" s="388">
        <v>94848.6</v>
      </c>
      <c r="T34" s="388">
        <v>116362.639</v>
      </c>
      <c r="U34" s="388">
        <v>201335.65</v>
      </c>
    </row>
    <row r="35" spans="1:21">
      <c r="A35" s="41"/>
      <c r="B35" s="42"/>
      <c r="C35" s="56"/>
      <c r="D35" s="57"/>
      <c r="E35" s="56"/>
      <c r="F35" s="56"/>
      <c r="G35" s="149"/>
      <c r="H35" s="149"/>
      <c r="I35" s="165"/>
      <c r="J35" s="165"/>
      <c r="K35" s="165"/>
      <c r="L35" s="167"/>
      <c r="M35" s="167"/>
      <c r="N35" s="167"/>
      <c r="O35" s="167"/>
      <c r="P35" s="167"/>
      <c r="Q35" s="311"/>
      <c r="R35" s="311"/>
      <c r="S35" s="360"/>
      <c r="T35" s="360"/>
      <c r="U35" s="360"/>
    </row>
    <row r="36" spans="1:21">
      <c r="A36" s="170"/>
      <c r="B36" s="60"/>
      <c r="C36" s="171"/>
      <c r="D36" s="172"/>
      <c r="E36" s="171"/>
      <c r="F36" s="173"/>
      <c r="G36" s="174"/>
      <c r="H36" s="174"/>
      <c r="I36" s="175"/>
      <c r="J36" s="225"/>
      <c r="K36" s="225"/>
      <c r="L36" s="225"/>
      <c r="M36" s="225"/>
      <c r="N36" s="225"/>
      <c r="O36" s="225"/>
      <c r="P36" s="225"/>
      <c r="Q36" s="341"/>
      <c r="R36" s="341"/>
      <c r="S36" s="362"/>
      <c r="T36" s="362"/>
      <c r="U36" s="362"/>
    </row>
    <row r="37" spans="1:21">
      <c r="A37" s="66"/>
      <c r="B37" s="66"/>
      <c r="C37" s="65"/>
      <c r="D37" s="65"/>
      <c r="E37" s="65"/>
      <c r="F37" s="67"/>
      <c r="G37" s="65"/>
      <c r="H37" s="68"/>
      <c r="I37" s="65"/>
      <c r="J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6.42578125"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61</v>
      </c>
      <c r="C2" s="79"/>
      <c r="D2" s="79"/>
      <c r="E2" s="79"/>
      <c r="F2" s="79"/>
      <c r="G2" s="79"/>
      <c r="H2" s="79"/>
      <c r="I2" s="79"/>
      <c r="J2" s="349"/>
      <c r="K2" s="349"/>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1322839</v>
      </c>
      <c r="D4" s="228">
        <f t="shared" si="0"/>
        <v>1453703</v>
      </c>
      <c r="E4" s="228">
        <f t="shared" si="0"/>
        <v>1432955</v>
      </c>
      <c r="F4" s="228">
        <f t="shared" si="0"/>
        <v>1396065</v>
      </c>
      <c r="G4" s="228">
        <f t="shared" si="0"/>
        <v>1330737</v>
      </c>
      <c r="H4" s="228">
        <f t="shared" si="0"/>
        <v>1403650</v>
      </c>
      <c r="I4" s="198">
        <f t="shared" ref="I4:O4" si="1">I6+I11+I16+I18</f>
        <v>1286582</v>
      </c>
      <c r="J4" s="198">
        <f t="shared" si="1"/>
        <v>1322655</v>
      </c>
      <c r="K4" s="198">
        <f t="shared" si="1"/>
        <v>1455219</v>
      </c>
      <c r="L4" s="198">
        <f t="shared" si="1"/>
        <v>1428110</v>
      </c>
      <c r="M4" s="198">
        <f t="shared" si="1"/>
        <v>1462828</v>
      </c>
      <c r="N4" s="198">
        <f t="shared" si="1"/>
        <v>2280613.6628900003</v>
      </c>
      <c r="O4" s="198">
        <f t="shared" si="1"/>
        <v>1522578</v>
      </c>
      <c r="P4" s="198">
        <f t="shared" ref="P4:Q4" si="2">P6+P11+P16+P18</f>
        <v>1533801</v>
      </c>
      <c r="Q4" s="13">
        <f t="shared" si="2"/>
        <v>1646956</v>
      </c>
      <c r="R4" s="13">
        <f t="shared" ref="R4" si="3">R6+R11+R16+R18</f>
        <v>1921307</v>
      </c>
      <c r="S4" s="348">
        <f t="shared" ref="S4:T4" si="4">S6+S11+S16+S18</f>
        <v>1887705</v>
      </c>
      <c r="T4" s="348">
        <f t="shared" si="4"/>
        <v>1904281</v>
      </c>
      <c r="U4" s="348">
        <f t="shared" ref="U4" si="5">U6+U11+U16+U18</f>
        <v>1899344</v>
      </c>
    </row>
    <row r="5" spans="1:21">
      <c r="A5" s="14"/>
      <c r="B5" s="15"/>
      <c r="C5" s="229"/>
      <c r="D5" s="230"/>
      <c r="E5" s="229"/>
      <c r="F5" s="229"/>
      <c r="G5" s="27"/>
      <c r="H5" s="196"/>
      <c r="I5" s="196"/>
      <c r="J5" s="196"/>
      <c r="K5" s="196"/>
      <c r="L5" s="196"/>
      <c r="M5" s="196"/>
      <c r="N5" s="196"/>
      <c r="O5" s="196"/>
      <c r="P5" s="196"/>
      <c r="Q5" s="18"/>
      <c r="R5" s="18"/>
      <c r="S5" s="298"/>
      <c r="T5" s="298"/>
      <c r="U5" s="298"/>
    </row>
    <row r="6" spans="1:21">
      <c r="A6" s="19">
        <v>10</v>
      </c>
      <c r="B6" s="12" t="s">
        <v>6</v>
      </c>
      <c r="C6" s="198">
        <f t="shared" ref="C6:H6" si="6">C7+C8+C9</f>
        <v>392661</v>
      </c>
      <c r="D6" s="198">
        <f t="shared" si="6"/>
        <v>453757</v>
      </c>
      <c r="E6" s="198">
        <f t="shared" si="6"/>
        <v>451088</v>
      </c>
      <c r="F6" s="198">
        <f t="shared" si="6"/>
        <v>405080</v>
      </c>
      <c r="G6" s="198">
        <f t="shared" si="6"/>
        <v>346408</v>
      </c>
      <c r="H6" s="198">
        <f t="shared" si="6"/>
        <v>444577</v>
      </c>
      <c r="I6" s="198">
        <f t="shared" ref="I6:N6" si="7">I7+I8+I9</f>
        <v>319614</v>
      </c>
      <c r="J6" s="198">
        <f t="shared" si="7"/>
        <v>355503</v>
      </c>
      <c r="K6" s="198">
        <f t="shared" si="7"/>
        <v>478750</v>
      </c>
      <c r="L6" s="198">
        <f t="shared" si="7"/>
        <v>497617</v>
      </c>
      <c r="M6" s="198">
        <f t="shared" si="7"/>
        <v>515108</v>
      </c>
      <c r="N6" s="198">
        <f t="shared" si="7"/>
        <v>1327835.66289</v>
      </c>
      <c r="O6" s="198">
        <f t="shared" ref="O6:T6" si="8">O7+O8+O9</f>
        <v>543387</v>
      </c>
      <c r="P6" s="198">
        <f t="shared" si="8"/>
        <v>511947</v>
      </c>
      <c r="Q6" s="13">
        <f t="shared" si="8"/>
        <v>647090</v>
      </c>
      <c r="R6" s="13">
        <f t="shared" si="8"/>
        <v>869340</v>
      </c>
      <c r="S6" s="348">
        <f t="shared" si="8"/>
        <v>832679</v>
      </c>
      <c r="T6" s="348">
        <f t="shared" si="8"/>
        <v>839705</v>
      </c>
      <c r="U6" s="348">
        <f t="shared" ref="U6" si="9">U7+U8+U9</f>
        <v>807324</v>
      </c>
    </row>
    <row r="7" spans="1:21">
      <c r="A7" s="20" t="s">
        <v>7</v>
      </c>
      <c r="B7" s="21" t="s">
        <v>8</v>
      </c>
      <c r="C7" s="231">
        <v>204490</v>
      </c>
      <c r="D7" s="231">
        <v>213781</v>
      </c>
      <c r="E7" s="231">
        <v>274107</v>
      </c>
      <c r="F7" s="231">
        <v>284033</v>
      </c>
      <c r="G7" s="231">
        <f>243752-11688</f>
        <v>232064</v>
      </c>
      <c r="H7" s="231">
        <f>236653+63570</f>
        <v>300223</v>
      </c>
      <c r="I7" s="231">
        <f>-44895+212706</f>
        <v>167811</v>
      </c>
      <c r="J7" s="196">
        <f>39416+194010</f>
        <v>233426</v>
      </c>
      <c r="K7" s="196">
        <v>392239</v>
      </c>
      <c r="L7" s="196">
        <v>403765</v>
      </c>
      <c r="M7" s="196">
        <v>433444</v>
      </c>
      <c r="N7" s="298">
        <v>1252114.66289</v>
      </c>
      <c r="O7" s="298">
        <v>416522</v>
      </c>
      <c r="P7" s="298">
        <v>379638</v>
      </c>
      <c r="Q7" s="302">
        <v>396611</v>
      </c>
      <c r="R7" s="302">
        <v>544394</v>
      </c>
      <c r="S7" s="298">
        <v>503514</v>
      </c>
      <c r="T7" s="298">
        <v>444180</v>
      </c>
      <c r="U7" s="298">
        <v>420407</v>
      </c>
    </row>
    <row r="8" spans="1:21">
      <c r="A8" s="25">
        <v>102</v>
      </c>
      <c r="B8" s="26" t="s">
        <v>9</v>
      </c>
      <c r="C8" s="231">
        <v>154775</v>
      </c>
      <c r="D8" s="231">
        <v>220515</v>
      </c>
      <c r="E8" s="231">
        <v>166517</v>
      </c>
      <c r="F8" s="231">
        <v>111194</v>
      </c>
      <c r="G8" s="231">
        <v>104491</v>
      </c>
      <c r="H8" s="231">
        <v>135938</v>
      </c>
      <c r="I8" s="231">
        <v>143834</v>
      </c>
      <c r="J8" s="199">
        <v>114704</v>
      </c>
      <c r="K8" s="199">
        <v>79213</v>
      </c>
      <c r="L8" s="199">
        <v>86922</v>
      </c>
      <c r="M8" s="199">
        <v>74734</v>
      </c>
      <c r="N8" s="300">
        <v>68791</v>
      </c>
      <c r="O8" s="300">
        <v>87178</v>
      </c>
      <c r="P8" s="300">
        <v>86146</v>
      </c>
      <c r="Q8" s="302">
        <v>203365</v>
      </c>
      <c r="R8" s="302">
        <v>270497</v>
      </c>
      <c r="S8" s="300">
        <v>273069</v>
      </c>
      <c r="T8" s="300">
        <v>322964</v>
      </c>
      <c r="U8" s="300">
        <v>326666</v>
      </c>
    </row>
    <row r="9" spans="1:21">
      <c r="A9" s="25">
        <v>103</v>
      </c>
      <c r="B9" s="26" t="s">
        <v>10</v>
      </c>
      <c r="C9" s="231">
        <v>33396</v>
      </c>
      <c r="D9" s="231">
        <v>19461</v>
      </c>
      <c r="E9" s="231">
        <v>10464</v>
      </c>
      <c r="F9" s="231">
        <v>9853</v>
      </c>
      <c r="G9" s="231">
        <v>9853</v>
      </c>
      <c r="H9" s="231">
        <f>8416</f>
        <v>8416</v>
      </c>
      <c r="I9" s="231">
        <v>7969</v>
      </c>
      <c r="J9" s="196">
        <v>7373</v>
      </c>
      <c r="K9" s="196">
        <v>7298</v>
      </c>
      <c r="L9" s="196">
        <v>6930</v>
      </c>
      <c r="M9" s="196">
        <v>6930</v>
      </c>
      <c r="N9" s="298">
        <v>6930</v>
      </c>
      <c r="O9" s="298">
        <v>39687</v>
      </c>
      <c r="P9" s="298">
        <v>46163</v>
      </c>
      <c r="Q9" s="302">
        <v>47114</v>
      </c>
      <c r="R9" s="302">
        <v>54449</v>
      </c>
      <c r="S9" s="298">
        <v>56096</v>
      </c>
      <c r="T9" s="298">
        <v>72561</v>
      </c>
      <c r="U9" s="298">
        <v>60251</v>
      </c>
    </row>
    <row r="10" spans="1:21">
      <c r="A10" s="28"/>
      <c r="B10" s="29"/>
      <c r="C10" s="232"/>
      <c r="D10" s="233"/>
      <c r="E10" s="232"/>
      <c r="F10" s="232"/>
      <c r="G10" s="27"/>
      <c r="H10" s="196"/>
      <c r="I10" s="196"/>
      <c r="J10" s="196"/>
      <c r="K10" s="196"/>
      <c r="L10" s="196"/>
      <c r="M10" s="196"/>
      <c r="N10" s="196"/>
      <c r="O10" s="196"/>
      <c r="P10" s="196"/>
      <c r="Q10" s="18"/>
      <c r="R10" s="18"/>
      <c r="S10" s="298"/>
      <c r="T10" s="298"/>
      <c r="U10" s="298"/>
    </row>
    <row r="11" spans="1:21">
      <c r="A11" s="19">
        <v>11</v>
      </c>
      <c r="B11" s="12" t="s">
        <v>11</v>
      </c>
      <c r="C11" s="198">
        <f t="shared" ref="C11:H11" si="10">C12+C13+C14</f>
        <v>906345</v>
      </c>
      <c r="D11" s="198">
        <f t="shared" si="10"/>
        <v>998485</v>
      </c>
      <c r="E11" s="198">
        <f t="shared" si="10"/>
        <v>981490</v>
      </c>
      <c r="F11" s="198">
        <f t="shared" si="10"/>
        <v>990148</v>
      </c>
      <c r="G11" s="198">
        <f t="shared" si="10"/>
        <v>984260</v>
      </c>
      <c r="H11" s="198">
        <f t="shared" si="10"/>
        <v>959073</v>
      </c>
      <c r="I11" s="198">
        <f t="shared" ref="I11:N11" si="11">I12+I13+I14</f>
        <v>966968</v>
      </c>
      <c r="J11" s="198">
        <f t="shared" si="11"/>
        <v>967152</v>
      </c>
      <c r="K11" s="198">
        <f t="shared" si="11"/>
        <v>976469</v>
      </c>
      <c r="L11" s="198">
        <f t="shared" si="11"/>
        <v>930493</v>
      </c>
      <c r="M11" s="198">
        <f t="shared" si="11"/>
        <v>947720</v>
      </c>
      <c r="N11" s="198">
        <f t="shared" si="11"/>
        <v>952778</v>
      </c>
      <c r="O11" s="198">
        <f>O12+O13+O14</f>
        <v>979191</v>
      </c>
      <c r="P11" s="198">
        <f>P12+P13+P14</f>
        <v>1021854</v>
      </c>
      <c r="Q11" s="13">
        <f t="shared" ref="Q11" si="12">Q12+Q13+Q14</f>
        <v>999866</v>
      </c>
      <c r="R11" s="13">
        <f t="shared" ref="R11" si="13">R12+R13+R14</f>
        <v>1051967</v>
      </c>
      <c r="S11" s="348">
        <f t="shared" ref="S11:T11" si="14">S12+S13+S14</f>
        <v>1055026</v>
      </c>
      <c r="T11" s="348">
        <f t="shared" si="14"/>
        <v>1064576</v>
      </c>
      <c r="U11" s="348">
        <f t="shared" ref="U11" si="15">U12+U13+U14</f>
        <v>1092020</v>
      </c>
    </row>
    <row r="12" spans="1:21">
      <c r="A12" s="32">
        <v>114</v>
      </c>
      <c r="B12" s="21" t="s">
        <v>12</v>
      </c>
      <c r="C12" s="231">
        <v>9970</v>
      </c>
      <c r="D12" s="231">
        <v>9970</v>
      </c>
      <c r="E12" s="231">
        <v>9970</v>
      </c>
      <c r="F12" s="231">
        <v>9970</v>
      </c>
      <c r="G12" s="231">
        <v>9970</v>
      </c>
      <c r="H12" s="231">
        <f>9970</f>
        <v>9970</v>
      </c>
      <c r="I12" s="231">
        <v>9970</v>
      </c>
      <c r="J12" s="196">
        <v>9970</v>
      </c>
      <c r="K12" s="196">
        <v>9970</v>
      </c>
      <c r="L12" s="196">
        <v>9970</v>
      </c>
      <c r="M12" s="196">
        <v>9970</v>
      </c>
      <c r="N12" s="298">
        <v>9302</v>
      </c>
      <c r="O12" s="298">
        <v>279948</v>
      </c>
      <c r="P12" s="298">
        <v>317209</v>
      </c>
      <c r="Q12" s="302">
        <v>337719</v>
      </c>
      <c r="R12" s="302">
        <v>288199</v>
      </c>
      <c r="S12" s="298">
        <v>290429</v>
      </c>
      <c r="T12" s="298">
        <v>293986</v>
      </c>
      <c r="U12" s="298">
        <v>295132</v>
      </c>
    </row>
    <row r="13" spans="1:21">
      <c r="A13" s="25">
        <v>115</v>
      </c>
      <c r="B13" s="26" t="s">
        <v>13</v>
      </c>
      <c r="C13" s="231">
        <v>608897</v>
      </c>
      <c r="D13" s="231">
        <v>548573</v>
      </c>
      <c r="E13" s="231">
        <v>531598</v>
      </c>
      <c r="F13" s="231">
        <v>544642</v>
      </c>
      <c r="G13" s="231">
        <v>546168</v>
      </c>
      <c r="H13" s="231">
        <v>552201</v>
      </c>
      <c r="I13" s="231">
        <v>551838</v>
      </c>
      <c r="J13" s="199">
        <v>682634</v>
      </c>
      <c r="K13" s="199">
        <v>686560</v>
      </c>
      <c r="L13" s="199">
        <v>692210</v>
      </c>
      <c r="M13" s="199">
        <v>696215</v>
      </c>
      <c r="N13" s="300">
        <v>697458</v>
      </c>
      <c r="O13" s="300">
        <v>699243</v>
      </c>
      <c r="P13" s="300">
        <v>704645</v>
      </c>
      <c r="Q13" s="302">
        <v>662147</v>
      </c>
      <c r="R13" s="302">
        <v>757766</v>
      </c>
      <c r="S13" s="300">
        <v>760626</v>
      </c>
      <c r="T13" s="300">
        <v>763968</v>
      </c>
      <c r="U13" s="300">
        <v>789809</v>
      </c>
    </row>
    <row r="14" spans="1:21">
      <c r="A14" s="33" t="s">
        <v>14</v>
      </c>
      <c r="B14" s="34" t="s">
        <v>15</v>
      </c>
      <c r="C14" s="231">
        <v>287478</v>
      </c>
      <c r="D14" s="231">
        <v>439942</v>
      </c>
      <c r="E14" s="231">
        <v>439922</v>
      </c>
      <c r="F14" s="231">
        <v>435536</v>
      </c>
      <c r="G14" s="231">
        <v>428122</v>
      </c>
      <c r="H14" s="231">
        <f>392902+4000</f>
        <v>396902</v>
      </c>
      <c r="I14" s="231">
        <f>401160+4000</f>
        <v>405160</v>
      </c>
      <c r="J14" s="196">
        <f>270548+4000</f>
        <v>274548</v>
      </c>
      <c r="K14" s="196">
        <f>275939+4000</f>
        <v>279939</v>
      </c>
      <c r="L14" s="196">
        <v>228313</v>
      </c>
      <c r="M14" s="196">
        <v>241535</v>
      </c>
      <c r="N14" s="298">
        <v>246018</v>
      </c>
      <c r="O14" s="298">
        <v>0</v>
      </c>
      <c r="P14" s="298">
        <v>0</v>
      </c>
      <c r="Q14" s="302">
        <v>0</v>
      </c>
      <c r="R14" s="302">
        <v>6002</v>
      </c>
      <c r="S14" s="298">
        <v>3971</v>
      </c>
      <c r="T14" s="298">
        <v>6622</v>
      </c>
      <c r="U14" s="298">
        <v>7079</v>
      </c>
    </row>
    <row r="15" spans="1:21">
      <c r="A15" s="35"/>
      <c r="B15" s="36"/>
      <c r="C15" s="232"/>
      <c r="D15" s="233"/>
      <c r="E15" s="232"/>
      <c r="F15" s="232"/>
      <c r="G15" s="27"/>
      <c r="H15" s="200"/>
      <c r="I15" s="234"/>
      <c r="J15" s="200"/>
      <c r="K15" s="200"/>
      <c r="L15" s="200"/>
      <c r="M15" s="200"/>
      <c r="N15" s="305"/>
      <c r="O15" s="305"/>
      <c r="P15" s="305"/>
      <c r="Q15" s="308"/>
      <c r="R15" s="308"/>
      <c r="S15" s="305"/>
      <c r="T15" s="305"/>
      <c r="U15" s="305"/>
    </row>
    <row r="16" spans="1:21">
      <c r="A16" s="11">
        <v>12</v>
      </c>
      <c r="B16" s="38" t="s">
        <v>16</v>
      </c>
      <c r="C16" s="198">
        <v>111</v>
      </c>
      <c r="D16" s="198">
        <v>1461</v>
      </c>
      <c r="E16" s="198">
        <v>377</v>
      </c>
      <c r="F16" s="198">
        <v>837</v>
      </c>
      <c r="G16" s="198">
        <v>69</v>
      </c>
      <c r="H16" s="198">
        <v>0</v>
      </c>
      <c r="I16" s="198">
        <v>0</v>
      </c>
      <c r="J16" s="198">
        <v>0</v>
      </c>
      <c r="K16" s="198">
        <v>0</v>
      </c>
      <c r="L16" s="198">
        <v>0</v>
      </c>
      <c r="M16" s="198">
        <v>0</v>
      </c>
      <c r="N16" s="313">
        <v>0</v>
      </c>
      <c r="O16" s="313">
        <v>0</v>
      </c>
      <c r="P16" s="313">
        <v>0</v>
      </c>
      <c r="Q16" s="309">
        <v>0</v>
      </c>
      <c r="R16" s="309">
        <v>0</v>
      </c>
      <c r="S16" s="388">
        <v>0</v>
      </c>
      <c r="T16" s="388">
        <v>0</v>
      </c>
      <c r="U16" s="388">
        <v>0</v>
      </c>
    </row>
    <row r="17" spans="1:21">
      <c r="A17" s="39"/>
      <c r="B17" s="40"/>
      <c r="C17" s="229"/>
      <c r="D17" s="230"/>
      <c r="E17" s="229"/>
      <c r="F17" s="229"/>
      <c r="G17" s="235"/>
      <c r="H17" s="196"/>
      <c r="I17" s="196"/>
      <c r="J17" s="196"/>
      <c r="K17" s="196"/>
      <c r="L17" s="196"/>
      <c r="M17" s="196"/>
      <c r="N17" s="298"/>
      <c r="O17" s="298"/>
      <c r="P17" s="298"/>
      <c r="Q17" s="311"/>
      <c r="R17" s="311"/>
      <c r="S17" s="298"/>
      <c r="T17" s="298"/>
      <c r="U17" s="298"/>
    </row>
    <row r="18" spans="1:21">
      <c r="A18" s="11">
        <v>13</v>
      </c>
      <c r="B18" s="38" t="s">
        <v>17</v>
      </c>
      <c r="C18" s="198">
        <v>23722</v>
      </c>
      <c r="D18" s="198">
        <v>0</v>
      </c>
      <c r="E18" s="198">
        <v>0</v>
      </c>
      <c r="F18" s="198">
        <v>0</v>
      </c>
      <c r="G18" s="198">
        <v>0</v>
      </c>
      <c r="H18" s="198">
        <v>0</v>
      </c>
      <c r="I18" s="198">
        <v>0</v>
      </c>
      <c r="J18" s="198">
        <v>0</v>
      </c>
      <c r="K18" s="198">
        <v>0</v>
      </c>
      <c r="L18" s="198">
        <v>0</v>
      </c>
      <c r="M18" s="198">
        <v>0</v>
      </c>
      <c r="N18" s="313">
        <v>0</v>
      </c>
      <c r="O18" s="313">
        <v>0</v>
      </c>
      <c r="P18" s="313">
        <v>0</v>
      </c>
      <c r="Q18" s="309">
        <v>0</v>
      </c>
      <c r="R18" s="309">
        <v>0</v>
      </c>
      <c r="S18" s="388">
        <v>0</v>
      </c>
      <c r="T18" s="388">
        <v>0</v>
      </c>
      <c r="U18" s="388">
        <v>0</v>
      </c>
    </row>
    <row r="19" spans="1:21">
      <c r="A19" s="41"/>
      <c r="B19" s="42"/>
      <c r="C19" s="236"/>
      <c r="D19" s="237"/>
      <c r="E19" s="236"/>
      <c r="F19" s="236"/>
      <c r="G19" s="24"/>
      <c r="H19" s="196"/>
      <c r="I19" s="196"/>
      <c r="J19" s="196"/>
      <c r="K19" s="196"/>
      <c r="L19" s="196"/>
      <c r="M19" s="196"/>
      <c r="N19" s="298"/>
      <c r="O19" s="298"/>
      <c r="P19" s="298"/>
      <c r="Q19" s="311"/>
      <c r="R19" s="311"/>
      <c r="S19" s="298"/>
      <c r="T19" s="298"/>
      <c r="U19" s="298"/>
    </row>
    <row r="20" spans="1:21">
      <c r="A20" s="43"/>
      <c r="B20" s="36"/>
      <c r="C20" s="232"/>
      <c r="D20" s="233"/>
      <c r="E20" s="232"/>
      <c r="F20" s="232"/>
      <c r="G20" s="238"/>
      <c r="H20" s="200"/>
      <c r="I20" s="234"/>
      <c r="J20" s="200"/>
      <c r="K20" s="200"/>
      <c r="L20" s="200"/>
      <c r="M20" s="200"/>
      <c r="N20" s="305"/>
      <c r="O20" s="305"/>
      <c r="P20" s="305"/>
      <c r="Q20" s="308"/>
      <c r="R20" s="308"/>
      <c r="S20" s="305"/>
      <c r="T20" s="305"/>
      <c r="U20" s="305"/>
    </row>
    <row r="21" spans="1:21">
      <c r="A21" s="11">
        <v>2</v>
      </c>
      <c r="B21" s="38" t="s">
        <v>18</v>
      </c>
      <c r="C21" s="198">
        <f t="shared" ref="C21:I21" si="16">C23+C28+C30+C32+C34</f>
        <v>1322839</v>
      </c>
      <c r="D21" s="198">
        <f t="shared" si="16"/>
        <v>1453703</v>
      </c>
      <c r="E21" s="198">
        <f t="shared" si="16"/>
        <v>1432955</v>
      </c>
      <c r="F21" s="198">
        <f t="shared" si="16"/>
        <v>1396065</v>
      </c>
      <c r="G21" s="198">
        <f t="shared" si="16"/>
        <v>1330737</v>
      </c>
      <c r="H21" s="198">
        <f t="shared" si="16"/>
        <v>1403650</v>
      </c>
      <c r="I21" s="198">
        <f t="shared" si="16"/>
        <v>1286582</v>
      </c>
      <c r="J21" s="198">
        <f>J23+J28+J30+J32+J34+J36</f>
        <v>1322655</v>
      </c>
      <c r="K21" s="198">
        <f t="shared" ref="K21:Q21" si="17">K23+K28+K30+K32+K34</f>
        <v>1455219</v>
      </c>
      <c r="L21" s="198">
        <f t="shared" si="17"/>
        <v>1428110</v>
      </c>
      <c r="M21" s="198">
        <f t="shared" si="17"/>
        <v>1462828</v>
      </c>
      <c r="N21" s="198">
        <f t="shared" si="17"/>
        <v>1495761</v>
      </c>
      <c r="O21" s="198">
        <f t="shared" si="17"/>
        <v>1522578</v>
      </c>
      <c r="P21" s="198">
        <f t="shared" si="17"/>
        <v>1533801</v>
      </c>
      <c r="Q21" s="13">
        <f t="shared" si="17"/>
        <v>1646956</v>
      </c>
      <c r="R21" s="13">
        <f t="shared" ref="R21:S21" si="18">R23+R28+R30+R32+R34</f>
        <v>1921307</v>
      </c>
      <c r="S21" s="348">
        <f t="shared" si="18"/>
        <v>1887705</v>
      </c>
      <c r="T21" s="348">
        <f t="shared" ref="T21" si="19">T23+T28+T30+T32+T34</f>
        <v>1904281</v>
      </c>
      <c r="U21" s="348">
        <f t="shared" ref="U21" si="20">U23+U28+U30+U32+U34</f>
        <v>1899344</v>
      </c>
    </row>
    <row r="22" spans="1:21">
      <c r="A22" s="44"/>
      <c r="B22" s="45"/>
      <c r="C22" s="229"/>
      <c r="D22" s="230"/>
      <c r="E22" s="229"/>
      <c r="F22" s="229"/>
      <c r="G22" s="24"/>
      <c r="H22" s="196"/>
      <c r="I22" s="196"/>
      <c r="J22" s="196"/>
      <c r="K22" s="196"/>
      <c r="L22" s="196"/>
      <c r="M22" s="196"/>
      <c r="N22" s="196"/>
      <c r="O22" s="196"/>
      <c r="P22" s="196"/>
      <c r="Q22" s="18"/>
      <c r="R22" s="18"/>
      <c r="S22" s="298"/>
      <c r="T22" s="298"/>
      <c r="U22" s="298"/>
    </row>
    <row r="23" spans="1:21">
      <c r="A23" s="46">
        <v>20</v>
      </c>
      <c r="B23" s="47" t="s">
        <v>19</v>
      </c>
      <c r="C23" s="198">
        <f t="shared" ref="C23:H23" si="21">C24+C25+C26</f>
        <v>1255805</v>
      </c>
      <c r="D23" s="198">
        <f t="shared" si="21"/>
        <v>1177928</v>
      </c>
      <c r="E23" s="198">
        <f t="shared" si="21"/>
        <v>1107301</v>
      </c>
      <c r="F23" s="198">
        <f t="shared" si="21"/>
        <v>1095117</v>
      </c>
      <c r="G23" s="198">
        <f t="shared" si="21"/>
        <v>1065035</v>
      </c>
      <c r="H23" s="198">
        <f t="shared" si="21"/>
        <v>925288</v>
      </c>
      <c r="I23" s="198">
        <f t="shared" ref="I23:N23" si="22">I24+I25+I26</f>
        <v>809312</v>
      </c>
      <c r="J23" s="198">
        <f t="shared" si="22"/>
        <v>810631</v>
      </c>
      <c r="K23" s="198">
        <f t="shared" si="22"/>
        <v>839571</v>
      </c>
      <c r="L23" s="198">
        <f t="shared" si="22"/>
        <v>760641</v>
      </c>
      <c r="M23" s="198">
        <f t="shared" si="22"/>
        <v>725455</v>
      </c>
      <c r="N23" s="198">
        <f t="shared" si="22"/>
        <v>735091</v>
      </c>
      <c r="O23" s="198">
        <f>O24+O25+O26</f>
        <v>849163</v>
      </c>
      <c r="P23" s="198">
        <f>P24+P25+P26</f>
        <v>883253</v>
      </c>
      <c r="Q23" s="13">
        <f t="shared" ref="Q23:R23" si="23">Q24+Q25+Q26</f>
        <v>843316</v>
      </c>
      <c r="R23" s="13">
        <f t="shared" si="23"/>
        <v>987379</v>
      </c>
      <c r="S23" s="348">
        <f t="shared" ref="S23:T23" si="24">S24+S25+S26</f>
        <v>977770</v>
      </c>
      <c r="T23" s="348">
        <f t="shared" si="24"/>
        <v>958688</v>
      </c>
      <c r="U23" s="348">
        <f t="shared" ref="U23" si="25">U24+U25+U26</f>
        <v>899578</v>
      </c>
    </row>
    <row r="24" spans="1:21">
      <c r="A24" s="48" t="s">
        <v>20</v>
      </c>
      <c r="B24" s="49" t="s">
        <v>21</v>
      </c>
      <c r="C24" s="231">
        <v>60761</v>
      </c>
      <c r="D24" s="231">
        <v>144239</v>
      </c>
      <c r="E24" s="231">
        <v>165432</v>
      </c>
      <c r="F24" s="231">
        <v>172720</v>
      </c>
      <c r="G24" s="231">
        <f>145058+30000-13646</f>
        <v>161412</v>
      </c>
      <c r="H24" s="231">
        <f>133252-9260</f>
        <v>123992</v>
      </c>
      <c r="I24" s="231">
        <f>102605-3231</f>
        <v>99374</v>
      </c>
      <c r="J24" s="196">
        <f>94879+30000</f>
        <v>124879</v>
      </c>
      <c r="K24" s="196">
        <v>210278</v>
      </c>
      <c r="L24" s="196">
        <v>229239</v>
      </c>
      <c r="M24" s="196">
        <v>247688</v>
      </c>
      <c r="N24" s="298">
        <v>255805</v>
      </c>
      <c r="O24" s="298">
        <v>303146</v>
      </c>
      <c r="P24" s="298">
        <v>398667</v>
      </c>
      <c r="Q24" s="302">
        <v>359006</v>
      </c>
      <c r="R24" s="302">
        <v>298280</v>
      </c>
      <c r="S24" s="298">
        <v>372631</v>
      </c>
      <c r="T24" s="298">
        <v>430483</v>
      </c>
      <c r="U24" s="298">
        <v>443654</v>
      </c>
    </row>
    <row r="25" spans="1:21">
      <c r="A25" s="50">
        <v>202</v>
      </c>
      <c r="B25" s="51" t="s">
        <v>22</v>
      </c>
      <c r="C25" s="231">
        <v>1091084</v>
      </c>
      <c r="D25" s="231">
        <v>946052</v>
      </c>
      <c r="E25" s="231">
        <v>886570</v>
      </c>
      <c r="F25" s="231">
        <v>896071</v>
      </c>
      <c r="G25" s="231">
        <v>880600</v>
      </c>
      <c r="H25" s="231">
        <v>783860</v>
      </c>
      <c r="I25" s="231">
        <v>699130</v>
      </c>
      <c r="J25" s="199">
        <v>678775</v>
      </c>
      <c r="K25" s="199">
        <v>622399</v>
      </c>
      <c r="L25" s="199">
        <v>524508</v>
      </c>
      <c r="M25" s="199">
        <v>470873</v>
      </c>
      <c r="N25" s="300">
        <v>472392</v>
      </c>
      <c r="O25" s="300">
        <v>472400</v>
      </c>
      <c r="P25" s="300">
        <v>437596</v>
      </c>
      <c r="Q25" s="302">
        <v>415397</v>
      </c>
      <c r="R25" s="302">
        <v>565400</v>
      </c>
      <c r="S25" s="300">
        <v>545405</v>
      </c>
      <c r="T25" s="300">
        <v>455409</v>
      </c>
      <c r="U25" s="300">
        <v>385420</v>
      </c>
    </row>
    <row r="26" spans="1:21">
      <c r="A26" s="50">
        <v>205</v>
      </c>
      <c r="B26" s="52" t="s">
        <v>23</v>
      </c>
      <c r="C26" s="231">
        <v>103960</v>
      </c>
      <c r="D26" s="231">
        <v>87637</v>
      </c>
      <c r="E26" s="231">
        <v>55299</v>
      </c>
      <c r="F26" s="231">
        <v>26326</v>
      </c>
      <c r="G26" s="231">
        <v>23023</v>
      </c>
      <c r="H26" s="231">
        <f>8177+9259</f>
        <v>17436</v>
      </c>
      <c r="I26" s="231">
        <f>3231+7577</f>
        <v>10808</v>
      </c>
      <c r="J26" s="196">
        <f>6977</f>
        <v>6977</v>
      </c>
      <c r="K26" s="196">
        <v>6894</v>
      </c>
      <c r="L26" s="196">
        <v>6894</v>
      </c>
      <c r="M26" s="196">
        <v>6894</v>
      </c>
      <c r="N26" s="298">
        <v>6894</v>
      </c>
      <c r="O26" s="298">
        <v>73617</v>
      </c>
      <c r="P26" s="298">
        <v>46990</v>
      </c>
      <c r="Q26" s="302">
        <v>68913</v>
      </c>
      <c r="R26" s="302">
        <v>123699</v>
      </c>
      <c r="S26" s="298">
        <v>59734</v>
      </c>
      <c r="T26" s="298">
        <v>72796</v>
      </c>
      <c r="U26" s="298">
        <v>70504</v>
      </c>
    </row>
    <row r="27" spans="1:21">
      <c r="A27" s="35"/>
      <c r="B27" s="36"/>
      <c r="C27" s="232"/>
      <c r="D27" s="233"/>
      <c r="E27" s="232"/>
      <c r="F27" s="232"/>
      <c r="G27" s="238"/>
      <c r="H27" s="200"/>
      <c r="I27" s="234"/>
      <c r="J27" s="200"/>
      <c r="K27" s="200"/>
      <c r="L27" s="200"/>
      <c r="M27" s="200"/>
      <c r="N27" s="305"/>
      <c r="O27" s="305"/>
      <c r="P27" s="305"/>
      <c r="Q27" s="308"/>
      <c r="R27" s="308"/>
      <c r="S27" s="305"/>
      <c r="T27" s="305"/>
      <c r="U27" s="305"/>
    </row>
    <row r="28" spans="1:21">
      <c r="A28" s="11">
        <v>23</v>
      </c>
      <c r="B28" s="38" t="s">
        <v>24</v>
      </c>
      <c r="C28" s="198">
        <v>12811</v>
      </c>
      <c r="D28" s="198">
        <v>167576</v>
      </c>
      <c r="E28" s="198">
        <v>166053</v>
      </c>
      <c r="F28" s="198">
        <v>135199</v>
      </c>
      <c r="G28" s="198">
        <v>107966</v>
      </c>
      <c r="H28" s="198">
        <v>16110</v>
      </c>
      <c r="I28" s="198">
        <v>18644</v>
      </c>
      <c r="J28" s="198">
        <v>23266</v>
      </c>
      <c r="K28" s="198">
        <v>26255</v>
      </c>
      <c r="L28" s="198">
        <v>29037</v>
      </c>
      <c r="M28" s="198">
        <v>31340</v>
      </c>
      <c r="N28" s="313">
        <v>34332</v>
      </c>
      <c r="O28" s="313">
        <v>0</v>
      </c>
      <c r="P28" s="313"/>
      <c r="Q28" s="309"/>
      <c r="R28" s="309"/>
      <c r="S28" s="388"/>
      <c r="T28" s="388"/>
      <c r="U28" s="388"/>
    </row>
    <row r="29" spans="1:21">
      <c r="A29" s="53"/>
      <c r="B29" s="40"/>
      <c r="C29" s="229"/>
      <c r="D29" s="230"/>
      <c r="E29" s="229"/>
      <c r="F29" s="229"/>
      <c r="G29" s="213"/>
      <c r="H29" s="196"/>
      <c r="I29" s="196"/>
      <c r="J29" s="196"/>
      <c r="K29" s="196"/>
      <c r="L29" s="196"/>
      <c r="M29" s="196"/>
      <c r="N29" s="298"/>
      <c r="O29" s="298"/>
      <c r="P29" s="298"/>
      <c r="Q29" s="311"/>
      <c r="R29" s="311"/>
      <c r="S29" s="298"/>
      <c r="T29" s="298"/>
      <c r="U29" s="298"/>
    </row>
    <row r="30" spans="1:21">
      <c r="A30" s="11">
        <v>24</v>
      </c>
      <c r="B30" s="38" t="s">
        <v>25</v>
      </c>
      <c r="C30" s="198">
        <v>24816</v>
      </c>
      <c r="D30" s="198">
        <v>67169</v>
      </c>
      <c r="E30" s="198">
        <v>112495</v>
      </c>
      <c r="F30" s="198">
        <v>108791</v>
      </c>
      <c r="G30" s="198">
        <v>100662</v>
      </c>
      <c r="H30" s="198">
        <v>86165</v>
      </c>
      <c r="I30" s="198">
        <v>70716</v>
      </c>
      <c r="J30" s="198">
        <v>69453</v>
      </c>
      <c r="K30" s="198">
        <v>96458</v>
      </c>
      <c r="L30" s="198">
        <v>134296</v>
      </c>
      <c r="M30" s="198">
        <v>153201</v>
      </c>
      <c r="N30" s="313">
        <v>173528</v>
      </c>
      <c r="O30" s="313">
        <v>92897</v>
      </c>
      <c r="P30" s="313">
        <v>58807</v>
      </c>
      <c r="Q30" s="309">
        <v>87537</v>
      </c>
      <c r="R30" s="309">
        <v>65241</v>
      </c>
      <c r="S30" s="388">
        <v>48147</v>
      </c>
      <c r="T30" s="388">
        <v>45077</v>
      </c>
      <c r="U30" s="388">
        <v>54094</v>
      </c>
    </row>
    <row r="31" spans="1:21">
      <c r="A31" s="44"/>
      <c r="B31" s="45"/>
      <c r="C31" s="231"/>
      <c r="D31" s="230"/>
      <c r="E31" s="229"/>
      <c r="F31" s="229"/>
      <c r="G31" s="198"/>
      <c r="H31" s="196"/>
      <c r="I31" s="196"/>
      <c r="J31" s="223"/>
      <c r="K31" s="223"/>
      <c r="L31" s="196"/>
      <c r="M31" s="196"/>
      <c r="N31" s="298"/>
      <c r="O31" s="298"/>
      <c r="P31" s="298"/>
      <c r="Q31" s="311"/>
      <c r="R31" s="311"/>
      <c r="S31" s="298"/>
      <c r="T31" s="298"/>
      <c r="U31" s="298"/>
    </row>
    <row r="32" spans="1:21">
      <c r="A32" s="54">
        <v>28</v>
      </c>
      <c r="B32" s="47" t="s">
        <v>26</v>
      </c>
      <c r="C32" s="198">
        <v>29407</v>
      </c>
      <c r="D32" s="198">
        <v>31071</v>
      </c>
      <c r="E32" s="198">
        <v>34128</v>
      </c>
      <c r="F32" s="198">
        <v>32635</v>
      </c>
      <c r="G32" s="198">
        <v>30204</v>
      </c>
      <c r="H32" s="198">
        <v>57193</v>
      </c>
      <c r="I32" s="198">
        <v>59170</v>
      </c>
      <c r="J32" s="198">
        <v>60497</v>
      </c>
      <c r="K32" s="198">
        <v>83201</v>
      </c>
      <c r="L32" s="198">
        <v>94402</v>
      </c>
      <c r="M32" s="198">
        <v>116874</v>
      </c>
      <c r="N32" s="313">
        <v>114715</v>
      </c>
      <c r="O32" s="313">
        <v>159438</v>
      </c>
      <c r="P32" s="313">
        <v>186028</v>
      </c>
      <c r="Q32" s="309">
        <v>209337</v>
      </c>
      <c r="R32" s="309">
        <v>225898</v>
      </c>
      <c r="S32" s="388">
        <v>243298</v>
      </c>
      <c r="T32" s="388">
        <v>265129</v>
      </c>
      <c r="U32" s="388">
        <v>288822</v>
      </c>
    </row>
    <row r="33" spans="1:21">
      <c r="A33" s="53"/>
      <c r="B33" s="40"/>
      <c r="C33" s="229"/>
      <c r="D33" s="230"/>
      <c r="E33" s="229"/>
      <c r="F33" s="229"/>
      <c r="G33" s="198"/>
      <c r="H33" s="196"/>
      <c r="I33" s="196"/>
      <c r="J33" s="196"/>
      <c r="K33" s="196"/>
      <c r="L33" s="196"/>
      <c r="M33" s="196"/>
      <c r="N33" s="298"/>
      <c r="O33" s="298"/>
      <c r="P33" s="298"/>
      <c r="Q33" s="311"/>
      <c r="R33" s="311"/>
      <c r="S33" s="298"/>
      <c r="T33" s="298"/>
      <c r="U33" s="298"/>
    </row>
    <row r="34" spans="1:21">
      <c r="A34" s="11">
        <v>29</v>
      </c>
      <c r="B34" s="38" t="s">
        <v>27</v>
      </c>
      <c r="C34" s="198">
        <v>0</v>
      </c>
      <c r="D34" s="198">
        <v>9959</v>
      </c>
      <c r="E34" s="198">
        <v>12978</v>
      </c>
      <c r="F34" s="198">
        <v>24323</v>
      </c>
      <c r="G34" s="198">
        <v>26870</v>
      </c>
      <c r="H34" s="198">
        <f>168894+150000</f>
        <v>318894</v>
      </c>
      <c r="I34" s="198">
        <f>178740+150000</f>
        <v>328740</v>
      </c>
      <c r="J34" s="198">
        <f>208808+150000</f>
        <v>358808</v>
      </c>
      <c r="K34" s="198">
        <v>409734</v>
      </c>
      <c r="L34" s="198">
        <v>409734</v>
      </c>
      <c r="M34" s="198">
        <v>435958</v>
      </c>
      <c r="N34" s="313">
        <v>438095</v>
      </c>
      <c r="O34" s="313">
        <v>421080</v>
      </c>
      <c r="P34" s="313">
        <v>405713</v>
      </c>
      <c r="Q34" s="309">
        <v>506766</v>
      </c>
      <c r="R34" s="309">
        <v>642789</v>
      </c>
      <c r="S34" s="388">
        <v>618490</v>
      </c>
      <c r="T34" s="388">
        <v>635387</v>
      </c>
      <c r="U34" s="388">
        <v>656850</v>
      </c>
    </row>
    <row r="35" spans="1:21">
      <c r="A35" s="41"/>
      <c r="B35" s="42"/>
      <c r="C35" s="56"/>
      <c r="D35" s="57"/>
      <c r="E35" s="56"/>
      <c r="F35" s="56"/>
      <c r="G35" s="56"/>
      <c r="H35" s="56"/>
      <c r="I35" s="167"/>
      <c r="J35" s="196"/>
      <c r="K35" s="196"/>
      <c r="L35" s="167"/>
      <c r="M35" s="167"/>
      <c r="N35" s="167"/>
      <c r="O35" s="167"/>
      <c r="P35" s="167"/>
      <c r="Q35" s="311"/>
      <c r="R35" s="311"/>
      <c r="S35" s="360"/>
      <c r="T35" s="360"/>
      <c r="U35" s="360"/>
    </row>
    <row r="36" spans="1:21">
      <c r="A36" s="170"/>
      <c r="B36" s="60"/>
      <c r="C36" s="61"/>
      <c r="D36" s="62"/>
      <c r="E36" s="61"/>
      <c r="F36" s="63"/>
      <c r="G36" s="64"/>
      <c r="H36" s="64"/>
      <c r="I36" s="5"/>
      <c r="J36" s="227"/>
      <c r="K36" s="227"/>
      <c r="L36" s="225"/>
      <c r="M36" s="225"/>
      <c r="N36" s="225"/>
      <c r="O36" s="225"/>
      <c r="P36" s="225"/>
      <c r="Q36" s="341"/>
      <c r="R36" s="341"/>
      <c r="S36" s="362"/>
      <c r="T36" s="362"/>
      <c r="U36" s="362"/>
    </row>
    <row r="37" spans="1:21">
      <c r="F37" s="76"/>
      <c r="H37" s="68"/>
      <c r="I37" s="96"/>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147" customWidth="1"/>
    <col min="2" max="2" width="58.85546875" style="147" customWidth="1"/>
    <col min="3" max="8" width="10.7109375" style="92" bestFit="1" customWidth="1"/>
    <col min="9" max="9" width="12.28515625" style="92" bestFit="1" customWidth="1"/>
    <col min="10" max="17" width="11.42578125" style="92"/>
    <col min="18" max="21" width="15.42578125" style="78" bestFit="1" customWidth="1"/>
    <col min="22" max="16384" width="11.42578125" style="92"/>
  </cols>
  <sheetData>
    <row r="1" spans="1:21">
      <c r="A1" s="187" t="s">
        <v>0</v>
      </c>
      <c r="B1" s="12" t="s">
        <v>1</v>
      </c>
      <c r="C1" s="1">
        <v>2000</v>
      </c>
      <c r="D1" s="1">
        <v>2001</v>
      </c>
      <c r="E1" s="1">
        <v>2002</v>
      </c>
      <c r="F1" s="1">
        <v>2003</v>
      </c>
      <c r="G1" s="1">
        <v>2004</v>
      </c>
      <c r="H1" s="1">
        <v>2005</v>
      </c>
      <c r="I1" s="1">
        <v>2006</v>
      </c>
      <c r="J1" s="202">
        <v>2007</v>
      </c>
      <c r="K1" s="202">
        <v>2008</v>
      </c>
      <c r="L1" s="194">
        <v>2009</v>
      </c>
      <c r="M1" s="194">
        <v>2010</v>
      </c>
      <c r="N1" s="194">
        <v>2011</v>
      </c>
      <c r="O1" s="194">
        <v>2012</v>
      </c>
      <c r="P1" s="194">
        <v>2013</v>
      </c>
      <c r="Q1" s="344">
        <v>2014</v>
      </c>
      <c r="R1" s="344">
        <v>2015</v>
      </c>
      <c r="S1" s="344">
        <v>2016</v>
      </c>
      <c r="T1" s="344">
        <v>2017</v>
      </c>
      <c r="U1" s="344">
        <v>2018</v>
      </c>
    </row>
    <row r="2" spans="1:21">
      <c r="A2" s="7" t="s">
        <v>52</v>
      </c>
      <c r="B2" s="8" t="s">
        <v>56</v>
      </c>
      <c r="C2" s="79"/>
      <c r="D2" s="79"/>
      <c r="E2" s="79"/>
      <c r="F2" s="79"/>
      <c r="G2" s="79"/>
      <c r="H2" s="79"/>
      <c r="I2" s="79"/>
      <c r="J2" s="102"/>
      <c r="K2" s="102"/>
      <c r="L2" s="6"/>
      <c r="M2" s="6"/>
      <c r="N2" s="6"/>
      <c r="O2" s="6"/>
      <c r="P2" s="6"/>
      <c r="Q2" s="350" t="s">
        <v>103</v>
      </c>
      <c r="R2" s="350" t="s">
        <v>103</v>
      </c>
      <c r="S2" s="350" t="s">
        <v>103</v>
      </c>
      <c r="T2" s="350" t="s">
        <v>103</v>
      </c>
      <c r="U2" s="350" t="s">
        <v>103</v>
      </c>
    </row>
    <row r="3" spans="1:21">
      <c r="A3" s="186"/>
      <c r="B3" s="9"/>
      <c r="C3" s="9" t="s">
        <v>106</v>
      </c>
      <c r="D3" s="9" t="s">
        <v>106</v>
      </c>
      <c r="E3" s="9" t="s">
        <v>106</v>
      </c>
      <c r="F3" s="9" t="s">
        <v>106</v>
      </c>
      <c r="G3" s="9" t="s">
        <v>106</v>
      </c>
      <c r="H3" s="9" t="s">
        <v>106</v>
      </c>
      <c r="I3" s="9" t="s">
        <v>106</v>
      </c>
      <c r="J3" s="9" t="s">
        <v>106</v>
      </c>
      <c r="K3" s="9" t="s">
        <v>106</v>
      </c>
      <c r="L3" s="9" t="s">
        <v>106</v>
      </c>
      <c r="M3" s="9" t="s">
        <v>106</v>
      </c>
      <c r="N3" s="9" t="s">
        <v>106</v>
      </c>
      <c r="O3" s="9" t="s">
        <v>106</v>
      </c>
      <c r="P3" s="9" t="s">
        <v>106</v>
      </c>
      <c r="Q3" s="343" t="s">
        <v>106</v>
      </c>
      <c r="R3" s="343" t="s">
        <v>106</v>
      </c>
      <c r="S3" s="343" t="s">
        <v>4</v>
      </c>
      <c r="T3" s="343" t="s">
        <v>4</v>
      </c>
      <c r="U3" s="343" t="s">
        <v>4</v>
      </c>
    </row>
    <row r="4" spans="1:21">
      <c r="A4" s="11">
        <v>1</v>
      </c>
      <c r="B4" s="12" t="s">
        <v>32</v>
      </c>
      <c r="C4" s="228">
        <f t="shared" ref="C4:H4" si="0">C6+C11+C16+C18</f>
        <v>1962060</v>
      </c>
      <c r="D4" s="228">
        <f t="shared" si="0"/>
        <v>1954914</v>
      </c>
      <c r="E4" s="228">
        <f t="shared" si="0"/>
        <v>1965488</v>
      </c>
      <c r="F4" s="228">
        <f t="shared" si="0"/>
        <v>1950600.298</v>
      </c>
      <c r="G4" s="228">
        <f t="shared" si="0"/>
        <v>2046384</v>
      </c>
      <c r="H4" s="228">
        <f t="shared" si="0"/>
        <v>2030725</v>
      </c>
      <c r="I4" s="198">
        <f t="shared" ref="I4:Q4" si="1">I6+I11+I16+I18</f>
        <v>2031457</v>
      </c>
      <c r="J4" s="198">
        <f t="shared" si="1"/>
        <v>2071387</v>
      </c>
      <c r="K4" s="198">
        <f t="shared" si="1"/>
        <v>1998349</v>
      </c>
      <c r="L4" s="198">
        <f t="shared" si="1"/>
        <v>2017734</v>
      </c>
      <c r="M4" s="198">
        <f t="shared" si="1"/>
        <v>2300685</v>
      </c>
      <c r="N4" s="198">
        <f t="shared" si="1"/>
        <v>2656582.6628900003</v>
      </c>
      <c r="O4" s="198">
        <f t="shared" si="1"/>
        <v>2358853</v>
      </c>
      <c r="P4" s="198">
        <f t="shared" si="1"/>
        <v>3287816.9818800003</v>
      </c>
      <c r="Q4" s="13">
        <f t="shared" si="1"/>
        <v>6102572.5067199999</v>
      </c>
      <c r="R4" s="13">
        <f t="shared" ref="R4" si="2">R6+R11+R16+R18</f>
        <v>6665860.3104600003</v>
      </c>
      <c r="S4" s="348">
        <f t="shared" ref="S4:T4" si="3">S6+S11+S16+S18</f>
        <v>6653100.1402899986</v>
      </c>
      <c r="T4" s="348">
        <f t="shared" si="3"/>
        <v>6521829.2150000008</v>
      </c>
      <c r="U4" s="348">
        <f t="shared" ref="U4" si="4">U6+U11+U16+U18</f>
        <v>6701480.1999999993</v>
      </c>
    </row>
    <row r="5" spans="1:21">
      <c r="A5" s="14"/>
      <c r="B5" s="15"/>
      <c r="C5" s="229"/>
      <c r="D5" s="230"/>
      <c r="E5" s="229"/>
      <c r="F5" s="229"/>
      <c r="G5" s="27"/>
      <c r="H5" s="196"/>
      <c r="I5" s="196"/>
      <c r="J5" s="207"/>
      <c r="K5" s="207"/>
      <c r="L5" s="196"/>
      <c r="M5" s="196"/>
      <c r="N5" s="196"/>
      <c r="O5" s="196"/>
      <c r="P5" s="324"/>
      <c r="Q5" s="18"/>
      <c r="R5" s="18"/>
      <c r="S5" s="298"/>
      <c r="T5" s="298"/>
      <c r="U5" s="298"/>
    </row>
    <row r="6" spans="1:21">
      <c r="A6" s="19">
        <v>10</v>
      </c>
      <c r="B6" s="12" t="s">
        <v>33</v>
      </c>
      <c r="C6" s="198">
        <f t="shared" ref="C6:H6" si="5">C7+C8+C9</f>
        <v>512486</v>
      </c>
      <c r="D6" s="198">
        <f t="shared" si="5"/>
        <v>570020</v>
      </c>
      <c r="E6" s="198">
        <f t="shared" si="5"/>
        <v>626525</v>
      </c>
      <c r="F6" s="198">
        <f t="shared" si="5"/>
        <v>568168.55700000003</v>
      </c>
      <c r="G6" s="198">
        <f t="shared" si="5"/>
        <v>647130</v>
      </c>
      <c r="H6" s="198">
        <f t="shared" si="5"/>
        <v>934882</v>
      </c>
      <c r="I6" s="198">
        <f t="shared" ref="I6:P6" si="6">I7+I8+I9</f>
        <v>833777</v>
      </c>
      <c r="J6" s="198">
        <f t="shared" si="6"/>
        <v>784206</v>
      </c>
      <c r="K6" s="198">
        <f t="shared" si="6"/>
        <v>774639</v>
      </c>
      <c r="L6" s="198">
        <f t="shared" si="6"/>
        <v>771844</v>
      </c>
      <c r="M6" s="198">
        <f t="shared" si="6"/>
        <v>987318</v>
      </c>
      <c r="N6" s="198">
        <f t="shared" si="6"/>
        <v>1307356.66289</v>
      </c>
      <c r="O6" s="198">
        <f t="shared" si="6"/>
        <v>918448</v>
      </c>
      <c r="P6" s="198">
        <f t="shared" si="6"/>
        <v>1119658.9434500001</v>
      </c>
      <c r="Q6" s="13">
        <f>Q7+Q8+Q9</f>
        <v>4234264.3772700001</v>
      </c>
      <c r="R6" s="13">
        <f>R7+R8+R9</f>
        <v>4769430.3735300004</v>
      </c>
      <c r="S6" s="348">
        <f>S7+S8+S9</f>
        <v>4769615.8072599992</v>
      </c>
      <c r="T6" s="348">
        <f>T7+T8+T9</f>
        <v>4595518.5091700004</v>
      </c>
      <c r="U6" s="348">
        <f>U7+U8+U9</f>
        <v>4673065.0999999996</v>
      </c>
    </row>
    <row r="7" spans="1:21">
      <c r="A7" s="20" t="s">
        <v>7</v>
      </c>
      <c r="B7" s="21" t="s">
        <v>34</v>
      </c>
      <c r="C7" s="231">
        <v>489337</v>
      </c>
      <c r="D7" s="231">
        <v>552893</v>
      </c>
      <c r="E7" s="231">
        <v>609742</v>
      </c>
      <c r="F7" s="231">
        <f>65199.665+475352.794</f>
        <v>540552.45900000003</v>
      </c>
      <c r="G7" s="231">
        <v>610763</v>
      </c>
      <c r="H7" s="231">
        <v>906698</v>
      </c>
      <c r="I7" s="231">
        <v>813365</v>
      </c>
      <c r="J7" s="203">
        <v>761028</v>
      </c>
      <c r="K7" s="203">
        <v>738762</v>
      </c>
      <c r="L7" s="196">
        <v>737615</v>
      </c>
      <c r="M7" s="196">
        <v>956275</v>
      </c>
      <c r="N7" s="298">
        <v>1252114.66289</v>
      </c>
      <c r="O7" s="299">
        <v>881077</v>
      </c>
      <c r="P7" s="317">
        <v>1064209.0971000001</v>
      </c>
      <c r="Q7" s="302">
        <v>444025.02852999995</v>
      </c>
      <c r="R7" s="302">
        <v>432179.39118000004</v>
      </c>
      <c r="S7" s="298">
        <v>491010.04551999999</v>
      </c>
      <c r="T7" s="298">
        <v>554263.40179999999</v>
      </c>
      <c r="U7" s="298">
        <v>760443.2</v>
      </c>
    </row>
    <row r="8" spans="1:21">
      <c r="A8" s="25">
        <v>102</v>
      </c>
      <c r="B8" s="26" t="s">
        <v>35</v>
      </c>
      <c r="C8" s="231">
        <v>17590</v>
      </c>
      <c r="D8" s="231">
        <v>16936</v>
      </c>
      <c r="E8" s="231">
        <v>16665</v>
      </c>
      <c r="F8" s="231">
        <v>16623.362000000001</v>
      </c>
      <c r="G8" s="231">
        <v>16645</v>
      </c>
      <c r="H8" s="231">
        <v>11526</v>
      </c>
      <c r="I8" s="231">
        <v>3395</v>
      </c>
      <c r="J8" s="204">
        <v>3924</v>
      </c>
      <c r="K8" s="204">
        <v>3756</v>
      </c>
      <c r="L8" s="199">
        <v>3544</v>
      </c>
      <c r="M8" s="199">
        <v>3680</v>
      </c>
      <c r="N8" s="300">
        <v>3490</v>
      </c>
      <c r="O8" s="301">
        <v>3698</v>
      </c>
      <c r="P8" s="318">
        <v>3497.8178800000001</v>
      </c>
      <c r="Q8" s="302">
        <v>133490.16764999999</v>
      </c>
      <c r="R8" s="302">
        <v>462064.09896000003</v>
      </c>
      <c r="S8" s="300">
        <v>494199.59935000003</v>
      </c>
      <c r="T8" s="300">
        <v>239188.18836999999</v>
      </c>
      <c r="U8" s="300">
        <v>114195.49999999999</v>
      </c>
    </row>
    <row r="9" spans="1:21">
      <c r="A9" s="25">
        <v>103</v>
      </c>
      <c r="B9" s="26" t="s">
        <v>36</v>
      </c>
      <c r="C9" s="231">
        <v>5559</v>
      </c>
      <c r="D9" s="231">
        <v>191</v>
      </c>
      <c r="E9" s="231">
        <v>118</v>
      </c>
      <c r="F9" s="231">
        <v>10992.736000000001</v>
      </c>
      <c r="G9" s="231">
        <v>19722</v>
      </c>
      <c r="H9" s="231">
        <v>16658</v>
      </c>
      <c r="I9" s="231">
        <v>17017</v>
      </c>
      <c r="J9" s="204">
        <v>19254</v>
      </c>
      <c r="K9" s="204">
        <v>32121</v>
      </c>
      <c r="L9" s="196">
        <v>30685</v>
      </c>
      <c r="M9" s="196">
        <v>27363</v>
      </c>
      <c r="N9" s="298">
        <v>51752</v>
      </c>
      <c r="O9" s="299">
        <v>33673</v>
      </c>
      <c r="P9" s="317">
        <v>51952.028469999997</v>
      </c>
      <c r="Q9" s="302">
        <v>3656749.1810900001</v>
      </c>
      <c r="R9" s="302">
        <v>3875186.8833900001</v>
      </c>
      <c r="S9" s="298">
        <v>3784406.1623899997</v>
      </c>
      <c r="T9" s="298">
        <v>3802066.9190000002</v>
      </c>
      <c r="U9" s="298">
        <v>3798426.4</v>
      </c>
    </row>
    <row r="10" spans="1:21">
      <c r="A10" s="28"/>
      <c r="B10" s="29"/>
      <c r="C10" s="232"/>
      <c r="D10" s="233"/>
      <c r="E10" s="232"/>
      <c r="F10" s="232"/>
      <c r="G10" s="27"/>
      <c r="H10" s="196"/>
      <c r="I10" s="196"/>
      <c r="J10" s="205"/>
      <c r="K10" s="205"/>
      <c r="L10" s="196"/>
      <c r="M10" s="196"/>
      <c r="N10" s="196"/>
      <c r="O10" s="295"/>
      <c r="P10" s="332"/>
      <c r="Q10" s="18"/>
      <c r="R10" s="18"/>
      <c r="S10" s="298"/>
      <c r="T10" s="298"/>
      <c r="U10" s="298"/>
    </row>
    <row r="11" spans="1:21">
      <c r="A11" s="19">
        <v>11</v>
      </c>
      <c r="B11" s="12" t="s">
        <v>37</v>
      </c>
      <c r="C11" s="198">
        <f t="shared" ref="C11:H11" si="7">C12+C13+C14</f>
        <v>1449458</v>
      </c>
      <c r="D11" s="198">
        <f t="shared" si="7"/>
        <v>1384894</v>
      </c>
      <c r="E11" s="198">
        <f t="shared" si="7"/>
        <v>1338963</v>
      </c>
      <c r="F11" s="198">
        <f t="shared" si="7"/>
        <v>1382431.7409999999</v>
      </c>
      <c r="G11" s="198">
        <f t="shared" si="7"/>
        <v>1395180</v>
      </c>
      <c r="H11" s="198">
        <f t="shared" si="7"/>
        <v>1095843</v>
      </c>
      <c r="I11" s="198">
        <f t="shared" ref="I11:Q11" si="8">I12+I13+I14</f>
        <v>1116612</v>
      </c>
      <c r="J11" s="198">
        <f t="shared" si="8"/>
        <v>1175057</v>
      </c>
      <c r="K11" s="198">
        <f t="shared" si="8"/>
        <v>1137976</v>
      </c>
      <c r="L11" s="198">
        <f t="shared" si="8"/>
        <v>1169083</v>
      </c>
      <c r="M11" s="198">
        <f t="shared" si="8"/>
        <v>1221183</v>
      </c>
      <c r="N11" s="198">
        <f t="shared" si="8"/>
        <v>1273337</v>
      </c>
      <c r="O11" s="214">
        <f t="shared" si="8"/>
        <v>1266931</v>
      </c>
      <c r="P11" s="214">
        <f t="shared" si="8"/>
        <v>1368219.1704500001</v>
      </c>
      <c r="Q11" s="13">
        <f t="shared" si="8"/>
        <v>1425265.6524499999</v>
      </c>
      <c r="R11" s="13">
        <f t="shared" ref="R11" si="9">R12+R13+R14</f>
        <v>1459418.7059300002</v>
      </c>
      <c r="S11" s="348">
        <f t="shared" ref="S11:T11" si="10">S12+S13+S14</f>
        <v>1452715.44203</v>
      </c>
      <c r="T11" s="348">
        <f t="shared" si="10"/>
        <v>1502002.63583</v>
      </c>
      <c r="U11" s="348">
        <f t="shared" ref="U11" si="11">U12+U13+U14</f>
        <v>1610794</v>
      </c>
    </row>
    <row r="12" spans="1:21">
      <c r="A12" s="32">
        <v>114</v>
      </c>
      <c r="B12" s="21" t="s">
        <v>57</v>
      </c>
      <c r="C12" s="231">
        <v>777390</v>
      </c>
      <c r="D12" s="231">
        <v>778608</v>
      </c>
      <c r="E12" s="231">
        <v>784004</v>
      </c>
      <c r="F12" s="231">
        <v>818924.00100000005</v>
      </c>
      <c r="G12" s="231">
        <v>835852</v>
      </c>
      <c r="H12" s="231">
        <v>610842</v>
      </c>
      <c r="I12" s="231">
        <v>628022</v>
      </c>
      <c r="J12" s="203">
        <v>658680</v>
      </c>
      <c r="K12" s="203">
        <v>636525</v>
      </c>
      <c r="L12" s="196">
        <v>665134</v>
      </c>
      <c r="M12" s="196">
        <v>706865</v>
      </c>
      <c r="N12" s="298">
        <v>742421</v>
      </c>
      <c r="O12" s="300">
        <v>759499</v>
      </c>
      <c r="P12" s="323">
        <v>781700.00199999998</v>
      </c>
      <c r="Q12" s="302">
        <v>794855.00100000005</v>
      </c>
      <c r="R12" s="302">
        <v>814317.00100000005</v>
      </c>
      <c r="S12" s="298">
        <v>804127.51760000002</v>
      </c>
      <c r="T12" s="298">
        <v>794509.95819999999</v>
      </c>
      <c r="U12" s="298">
        <v>779909.3</v>
      </c>
    </row>
    <row r="13" spans="1:21">
      <c r="A13" s="25">
        <v>115</v>
      </c>
      <c r="B13" s="26" t="s">
        <v>39</v>
      </c>
      <c r="C13" s="231">
        <v>435471</v>
      </c>
      <c r="D13" s="231">
        <v>365464</v>
      </c>
      <c r="E13" s="231">
        <v>310041</v>
      </c>
      <c r="F13" s="231">
        <v>315240.74</v>
      </c>
      <c r="G13" s="231">
        <v>318215</v>
      </c>
      <c r="H13" s="231">
        <v>314731</v>
      </c>
      <c r="I13" s="231">
        <v>313414</v>
      </c>
      <c r="J13" s="204">
        <v>303551</v>
      </c>
      <c r="K13" s="204">
        <v>295783</v>
      </c>
      <c r="L13" s="199">
        <v>295120</v>
      </c>
      <c r="M13" s="199">
        <v>289984</v>
      </c>
      <c r="N13" s="300">
        <v>296545</v>
      </c>
      <c r="O13" s="300">
        <v>288014</v>
      </c>
      <c r="P13" s="323">
        <v>367308.16845</v>
      </c>
      <c r="Q13" s="302">
        <v>413363.65145</v>
      </c>
      <c r="R13" s="302">
        <v>416463.70493000001</v>
      </c>
      <c r="S13" s="300">
        <v>410929.92443000001</v>
      </c>
      <c r="T13" s="300">
        <v>463825.05262999999</v>
      </c>
      <c r="U13" s="300">
        <v>588187.69999999995</v>
      </c>
    </row>
    <row r="14" spans="1:21">
      <c r="A14" s="33" t="s">
        <v>14</v>
      </c>
      <c r="B14" s="34" t="s">
        <v>53</v>
      </c>
      <c r="C14" s="231">
        <v>236597</v>
      </c>
      <c r="D14" s="231">
        <v>240822</v>
      </c>
      <c r="E14" s="231">
        <v>244918</v>
      </c>
      <c r="F14" s="231">
        <v>248267</v>
      </c>
      <c r="G14" s="231">
        <v>241113</v>
      </c>
      <c r="H14" s="231">
        <v>170270</v>
      </c>
      <c r="I14" s="231">
        <v>175176</v>
      </c>
      <c r="J14" s="204">
        <v>212826</v>
      </c>
      <c r="K14" s="204">
        <v>205668</v>
      </c>
      <c r="L14" s="196">
        <v>208829</v>
      </c>
      <c r="M14" s="196">
        <v>224334</v>
      </c>
      <c r="N14" s="298">
        <v>234371</v>
      </c>
      <c r="O14" s="299">
        <v>219418</v>
      </c>
      <c r="P14" s="317">
        <v>219211</v>
      </c>
      <c r="Q14" s="302">
        <v>217047</v>
      </c>
      <c r="R14" s="302">
        <v>228638</v>
      </c>
      <c r="S14" s="298">
        <v>237658</v>
      </c>
      <c r="T14" s="298">
        <v>243667.625</v>
      </c>
      <c r="U14" s="298">
        <v>242697</v>
      </c>
    </row>
    <row r="15" spans="1:21">
      <c r="A15" s="35"/>
      <c r="B15" s="36"/>
      <c r="C15" s="232"/>
      <c r="D15" s="233"/>
      <c r="E15" s="232"/>
      <c r="F15" s="232"/>
      <c r="G15" s="27"/>
      <c r="H15" s="200"/>
      <c r="I15" s="234"/>
      <c r="J15" s="205"/>
      <c r="K15" s="205"/>
      <c r="L15" s="200"/>
      <c r="M15" s="200"/>
      <c r="N15" s="305"/>
      <c r="O15" s="306"/>
      <c r="P15" s="333"/>
      <c r="Q15" s="308"/>
      <c r="R15" s="308"/>
      <c r="S15" s="305"/>
      <c r="T15" s="305"/>
      <c r="U15" s="305"/>
    </row>
    <row r="16" spans="1:21">
      <c r="A16" s="11">
        <v>12</v>
      </c>
      <c r="B16" s="38" t="s">
        <v>41</v>
      </c>
      <c r="C16" s="198">
        <v>116</v>
      </c>
      <c r="D16" s="198">
        <v>0</v>
      </c>
      <c r="E16" s="198">
        <v>0</v>
      </c>
      <c r="F16" s="198">
        <v>0</v>
      </c>
      <c r="G16" s="198">
        <v>0</v>
      </c>
      <c r="H16" s="198">
        <v>0</v>
      </c>
      <c r="I16" s="198">
        <v>0</v>
      </c>
      <c r="J16" s="198">
        <v>0</v>
      </c>
      <c r="K16" s="198">
        <v>0</v>
      </c>
      <c r="L16" s="198">
        <v>0</v>
      </c>
      <c r="M16" s="198">
        <v>0</v>
      </c>
      <c r="N16" s="313">
        <v>0</v>
      </c>
      <c r="O16" s="314">
        <v>0</v>
      </c>
      <c r="P16" s="314">
        <v>448869.76699999999</v>
      </c>
      <c r="Q16" s="309">
        <v>443042.47700000001</v>
      </c>
      <c r="R16" s="309">
        <v>437011.23100000003</v>
      </c>
      <c r="S16" s="388">
        <v>430768.891</v>
      </c>
      <c r="T16" s="388">
        <v>424308.07</v>
      </c>
      <c r="U16" s="388">
        <v>417621.1</v>
      </c>
    </row>
    <row r="17" spans="1:21">
      <c r="A17" s="39"/>
      <c r="B17" s="40"/>
      <c r="C17" s="229"/>
      <c r="D17" s="230"/>
      <c r="E17" s="229"/>
      <c r="F17" s="229"/>
      <c r="G17" s="235"/>
      <c r="H17" s="196"/>
      <c r="I17" s="196"/>
      <c r="J17" s="196"/>
      <c r="K17" s="196"/>
      <c r="L17" s="196"/>
      <c r="M17" s="196"/>
      <c r="N17" s="298"/>
      <c r="O17" s="299"/>
      <c r="P17" s="317"/>
      <c r="Q17" s="311"/>
      <c r="R17" s="311"/>
      <c r="S17" s="298"/>
      <c r="T17" s="298"/>
      <c r="U17" s="298"/>
    </row>
    <row r="18" spans="1:21">
      <c r="A18" s="11">
        <v>13</v>
      </c>
      <c r="B18" s="38" t="s">
        <v>42</v>
      </c>
      <c r="C18" s="198">
        <v>0</v>
      </c>
      <c r="D18" s="198">
        <v>0</v>
      </c>
      <c r="E18" s="198">
        <v>0</v>
      </c>
      <c r="F18" s="198">
        <v>0</v>
      </c>
      <c r="G18" s="198">
        <v>4074</v>
      </c>
      <c r="H18" s="198">
        <v>0</v>
      </c>
      <c r="I18" s="198">
        <v>81068</v>
      </c>
      <c r="J18" s="198">
        <v>112124</v>
      </c>
      <c r="K18" s="198">
        <v>85734</v>
      </c>
      <c r="L18" s="198">
        <v>76807</v>
      </c>
      <c r="M18" s="198">
        <v>92184</v>
      </c>
      <c r="N18" s="313">
        <v>75889</v>
      </c>
      <c r="O18" s="314">
        <v>173474</v>
      </c>
      <c r="P18" s="314">
        <v>351069.10097999999</v>
      </c>
      <c r="Q18" s="309">
        <v>0</v>
      </c>
      <c r="R18" s="309">
        <v>0</v>
      </c>
      <c r="S18" s="388">
        <v>0</v>
      </c>
      <c r="T18" s="388">
        <v>0</v>
      </c>
      <c r="U18" s="388">
        <v>0</v>
      </c>
    </row>
    <row r="19" spans="1:21">
      <c r="A19" s="41"/>
      <c r="B19" s="42"/>
      <c r="C19" s="236"/>
      <c r="D19" s="237"/>
      <c r="E19" s="236"/>
      <c r="F19" s="236"/>
      <c r="G19" s="24"/>
      <c r="H19" s="196"/>
      <c r="I19" s="196"/>
      <c r="J19" s="203"/>
      <c r="K19" s="203"/>
      <c r="L19" s="196"/>
      <c r="M19" s="196"/>
      <c r="N19" s="298"/>
      <c r="O19" s="299"/>
      <c r="P19" s="317"/>
      <c r="Q19" s="311"/>
      <c r="R19" s="311"/>
      <c r="S19" s="298"/>
      <c r="T19" s="298"/>
      <c r="U19" s="298"/>
    </row>
    <row r="20" spans="1:21">
      <c r="A20" s="43"/>
      <c r="B20" s="36"/>
      <c r="C20" s="232"/>
      <c r="D20" s="233"/>
      <c r="E20" s="232"/>
      <c r="F20" s="232"/>
      <c r="G20" s="238"/>
      <c r="H20" s="200"/>
      <c r="I20" s="234"/>
      <c r="J20" s="205"/>
      <c r="K20" s="205"/>
      <c r="L20" s="200"/>
      <c r="M20" s="200"/>
      <c r="N20" s="305"/>
      <c r="O20" s="306"/>
      <c r="P20" s="333"/>
      <c r="Q20" s="308"/>
      <c r="R20" s="308"/>
      <c r="S20" s="305"/>
      <c r="T20" s="305"/>
      <c r="U20" s="305"/>
    </row>
    <row r="21" spans="1:21">
      <c r="A21" s="11">
        <v>2</v>
      </c>
      <c r="B21" s="38" t="s">
        <v>43</v>
      </c>
      <c r="C21" s="198">
        <f t="shared" ref="C21:H21" si="12">C23+C28+C30+C32+C34</f>
        <v>1962060</v>
      </c>
      <c r="D21" s="198">
        <f t="shared" si="12"/>
        <v>1954914</v>
      </c>
      <c r="E21" s="198">
        <f t="shared" si="12"/>
        <v>1965488</v>
      </c>
      <c r="F21" s="198">
        <f t="shared" si="12"/>
        <v>1950600.2969999998</v>
      </c>
      <c r="G21" s="198">
        <f t="shared" si="12"/>
        <v>2046384</v>
      </c>
      <c r="H21" s="198">
        <f t="shared" si="12"/>
        <v>2030725</v>
      </c>
      <c r="I21" s="198">
        <f t="shared" ref="I21:Q21" si="13">I23+I28+I30+I32+I34</f>
        <v>2031457</v>
      </c>
      <c r="J21" s="198">
        <f t="shared" si="13"/>
        <v>2071387</v>
      </c>
      <c r="K21" s="198">
        <f t="shared" si="13"/>
        <v>1998349</v>
      </c>
      <c r="L21" s="198">
        <f t="shared" si="13"/>
        <v>2017734</v>
      </c>
      <c r="M21" s="198">
        <f t="shared" si="13"/>
        <v>2300685</v>
      </c>
      <c r="N21" s="198">
        <f t="shared" si="13"/>
        <v>2181241</v>
      </c>
      <c r="O21" s="214">
        <f t="shared" si="13"/>
        <v>2358853</v>
      </c>
      <c r="P21" s="214">
        <f t="shared" si="13"/>
        <v>3287816.9818799999</v>
      </c>
      <c r="Q21" s="13">
        <f t="shared" si="13"/>
        <v>6102572.5067199999</v>
      </c>
      <c r="R21" s="13">
        <f t="shared" ref="R21:S21" si="14">R23+R28+R30+R32+R34</f>
        <v>6665860.3104599994</v>
      </c>
      <c r="S21" s="348">
        <f t="shared" si="14"/>
        <v>6653100.1402899995</v>
      </c>
      <c r="T21" s="348">
        <f t="shared" ref="T21" si="15">T23+T28+T30+T32+T34</f>
        <v>6521829.2147899987</v>
      </c>
      <c r="U21" s="348">
        <f t="shared" ref="U21" si="16">U23+U28+U30+U32+U34</f>
        <v>6701480.0999999996</v>
      </c>
    </row>
    <row r="22" spans="1:21">
      <c r="A22" s="44"/>
      <c r="B22" s="45"/>
      <c r="C22" s="229"/>
      <c r="D22" s="230"/>
      <c r="E22" s="229"/>
      <c r="F22" s="229"/>
      <c r="G22" s="24"/>
      <c r="H22" s="196"/>
      <c r="I22" s="196"/>
      <c r="J22" s="207"/>
      <c r="K22" s="207"/>
      <c r="L22" s="196"/>
      <c r="M22" s="196"/>
      <c r="N22" s="196"/>
      <c r="O22" s="295"/>
      <c r="P22" s="332"/>
      <c r="Q22" s="18"/>
      <c r="R22" s="18"/>
      <c r="S22" s="298"/>
      <c r="T22" s="298"/>
      <c r="U22" s="298"/>
    </row>
    <row r="23" spans="1:21">
      <c r="A23" s="46">
        <v>20</v>
      </c>
      <c r="B23" s="47" t="s">
        <v>44</v>
      </c>
      <c r="C23" s="198">
        <f t="shared" ref="C23:H23" si="17">C24+C25+C26</f>
        <v>1046069</v>
      </c>
      <c r="D23" s="198">
        <f t="shared" si="17"/>
        <v>1061572</v>
      </c>
      <c r="E23" s="198">
        <f t="shared" si="17"/>
        <v>1169039</v>
      </c>
      <c r="F23" s="198">
        <f t="shared" si="17"/>
        <v>1389266.3019999999</v>
      </c>
      <c r="G23" s="198">
        <f t="shared" si="17"/>
        <v>1839181</v>
      </c>
      <c r="H23" s="198">
        <f t="shared" si="17"/>
        <v>1826115</v>
      </c>
      <c r="I23" s="198">
        <f t="shared" ref="I23:Q23" si="18">I24+I25+I26</f>
        <v>1866777</v>
      </c>
      <c r="J23" s="198">
        <f t="shared" si="18"/>
        <v>1882379</v>
      </c>
      <c r="K23" s="198">
        <f t="shared" si="18"/>
        <v>1800994</v>
      </c>
      <c r="L23" s="198">
        <f t="shared" si="18"/>
        <v>1811824</v>
      </c>
      <c r="M23" s="198">
        <f t="shared" si="18"/>
        <v>2088672</v>
      </c>
      <c r="N23" s="198">
        <f t="shared" si="18"/>
        <v>1966262</v>
      </c>
      <c r="O23" s="214">
        <f t="shared" si="18"/>
        <v>2138966</v>
      </c>
      <c r="P23" s="214">
        <f t="shared" si="18"/>
        <v>3065138.52305</v>
      </c>
      <c r="Q23" s="13">
        <f t="shared" si="18"/>
        <v>6277031.4024499999</v>
      </c>
      <c r="R23" s="13">
        <f t="shared" ref="R23:S23" si="19">R24+R25+R26</f>
        <v>6946794.4609000003</v>
      </c>
      <c r="S23" s="348">
        <f t="shared" si="19"/>
        <v>6954196.3065900002</v>
      </c>
      <c r="T23" s="348">
        <f t="shared" ref="T23" si="20">T24+T25+T26</f>
        <v>6719719.1517999992</v>
      </c>
      <c r="U23" s="348">
        <f t="shared" ref="U23" si="21">U24+U25+U26</f>
        <v>6761859.3999999994</v>
      </c>
    </row>
    <row r="24" spans="1:21">
      <c r="A24" s="48" t="s">
        <v>20</v>
      </c>
      <c r="B24" s="49" t="s">
        <v>58</v>
      </c>
      <c r="C24" s="231">
        <v>290813</v>
      </c>
      <c r="D24" s="231">
        <v>377007</v>
      </c>
      <c r="E24" s="231">
        <v>355068</v>
      </c>
      <c r="F24" s="231">
        <v>322184.08899999998</v>
      </c>
      <c r="G24" s="231">
        <v>315131</v>
      </c>
      <c r="H24" s="231">
        <v>298514</v>
      </c>
      <c r="I24" s="231">
        <v>287848</v>
      </c>
      <c r="J24" s="203">
        <v>303954</v>
      </c>
      <c r="K24" s="203">
        <v>323130</v>
      </c>
      <c r="L24" s="196">
        <v>343410</v>
      </c>
      <c r="M24" s="196">
        <v>419100</v>
      </c>
      <c r="N24" s="298">
        <v>501198</v>
      </c>
      <c r="O24" s="299">
        <v>675870</v>
      </c>
      <c r="P24" s="317">
        <v>748372.40583000006</v>
      </c>
      <c r="Q24" s="302">
        <v>2692269.1669600001</v>
      </c>
      <c r="R24" s="302">
        <v>3299038.4703600002</v>
      </c>
      <c r="S24" s="298">
        <v>3385566.87433</v>
      </c>
      <c r="T24" s="298">
        <v>3161891.6738</v>
      </c>
      <c r="U24" s="298">
        <v>3455403.5</v>
      </c>
    </row>
    <row r="25" spans="1:21">
      <c r="A25" s="50">
        <v>202</v>
      </c>
      <c r="B25" s="51" t="s">
        <v>59</v>
      </c>
      <c r="C25" s="231">
        <v>743399</v>
      </c>
      <c r="D25" s="231">
        <v>673156</v>
      </c>
      <c r="E25" s="231">
        <v>800000</v>
      </c>
      <c r="F25" s="231">
        <v>1050000</v>
      </c>
      <c r="G25" s="231">
        <v>1500000</v>
      </c>
      <c r="H25" s="231">
        <v>1500000</v>
      </c>
      <c r="I25" s="231">
        <v>1550000</v>
      </c>
      <c r="J25" s="204">
        <v>1550000</v>
      </c>
      <c r="K25" s="204">
        <v>1450000</v>
      </c>
      <c r="L25" s="199">
        <v>1450000</v>
      </c>
      <c r="M25" s="199">
        <v>1650000</v>
      </c>
      <c r="N25" s="300">
        <v>1450000</v>
      </c>
      <c r="O25" s="301">
        <v>1450000</v>
      </c>
      <c r="P25" s="318">
        <v>2298869.767</v>
      </c>
      <c r="Q25" s="302">
        <v>2599343.5010000002</v>
      </c>
      <c r="R25" s="302">
        <v>2593187.551</v>
      </c>
      <c r="S25" s="300">
        <v>2556540.6310000001</v>
      </c>
      <c r="T25" s="300">
        <v>2649778.0699999998</v>
      </c>
      <c r="U25" s="300">
        <v>2393091.1</v>
      </c>
    </row>
    <row r="26" spans="1:21">
      <c r="A26" s="50">
        <v>205</v>
      </c>
      <c r="B26" s="52" t="s">
        <v>60</v>
      </c>
      <c r="C26" s="231">
        <v>11857</v>
      </c>
      <c r="D26" s="231">
        <v>11409</v>
      </c>
      <c r="E26" s="231">
        <v>13971</v>
      </c>
      <c r="F26" s="231">
        <v>17082.213</v>
      </c>
      <c r="G26" s="231">
        <v>24050</v>
      </c>
      <c r="H26" s="231">
        <v>27601</v>
      </c>
      <c r="I26" s="231">
        <v>28929</v>
      </c>
      <c r="J26" s="204">
        <v>28425</v>
      </c>
      <c r="K26" s="204">
        <v>27864</v>
      </c>
      <c r="L26" s="196">
        <v>18414</v>
      </c>
      <c r="M26" s="196">
        <v>19572</v>
      </c>
      <c r="N26" s="298">
        <v>15064</v>
      </c>
      <c r="O26" s="299">
        <v>13096</v>
      </c>
      <c r="P26" s="317">
        <v>17896.35022</v>
      </c>
      <c r="Q26" s="302">
        <v>985418.73449000006</v>
      </c>
      <c r="R26" s="302">
        <v>1054568.4395399999</v>
      </c>
      <c r="S26" s="298">
        <v>1012088.80126</v>
      </c>
      <c r="T26" s="298">
        <v>908049.40800000005</v>
      </c>
      <c r="U26" s="298">
        <v>913364.8</v>
      </c>
    </row>
    <row r="27" spans="1:21">
      <c r="A27" s="35"/>
      <c r="B27" s="36"/>
      <c r="C27" s="232"/>
      <c r="D27" s="233"/>
      <c r="E27" s="232"/>
      <c r="F27" s="232"/>
      <c r="G27" s="238"/>
      <c r="H27" s="200"/>
      <c r="I27" s="234"/>
      <c r="J27" s="205"/>
      <c r="K27" s="205"/>
      <c r="L27" s="200"/>
      <c r="M27" s="200"/>
      <c r="N27" s="305"/>
      <c r="O27" s="306"/>
      <c r="P27" s="333"/>
      <c r="Q27" s="308"/>
      <c r="R27" s="308"/>
      <c r="S27" s="305"/>
      <c r="T27" s="305"/>
      <c r="U27" s="305"/>
    </row>
    <row r="28" spans="1:21">
      <c r="A28" s="11">
        <v>23</v>
      </c>
      <c r="B28" s="38" t="s">
        <v>48</v>
      </c>
      <c r="C28" s="198">
        <v>315681</v>
      </c>
      <c r="D28" s="198">
        <v>277351</v>
      </c>
      <c r="E28" s="198">
        <v>216645</v>
      </c>
      <c r="F28" s="198">
        <v>214991.93</v>
      </c>
      <c r="G28" s="198">
        <v>165872</v>
      </c>
      <c r="H28" s="198">
        <v>111766</v>
      </c>
      <c r="I28" s="198">
        <v>118214</v>
      </c>
      <c r="J28" s="208">
        <v>118742</v>
      </c>
      <c r="K28" s="208">
        <v>119550</v>
      </c>
      <c r="L28" s="198">
        <v>120713</v>
      </c>
      <c r="M28" s="198">
        <v>120622</v>
      </c>
      <c r="N28" s="313">
        <v>127051</v>
      </c>
      <c r="O28" s="314">
        <v>126383</v>
      </c>
      <c r="P28" s="314">
        <v>127014.39867</v>
      </c>
      <c r="Q28" s="309"/>
      <c r="R28" s="309"/>
      <c r="S28" s="388"/>
      <c r="T28" s="388"/>
      <c r="U28" s="388"/>
    </row>
    <row r="29" spans="1:21">
      <c r="A29" s="53"/>
      <c r="B29" s="40"/>
      <c r="C29" s="229"/>
      <c r="D29" s="230"/>
      <c r="E29" s="229"/>
      <c r="F29" s="229"/>
      <c r="G29" s="213"/>
      <c r="H29" s="196"/>
      <c r="I29" s="196"/>
      <c r="J29" s="209"/>
      <c r="K29" s="209"/>
      <c r="L29" s="196"/>
      <c r="M29" s="196"/>
      <c r="N29" s="298"/>
      <c r="O29" s="299"/>
      <c r="P29" s="317"/>
      <c r="Q29" s="311"/>
      <c r="R29" s="311"/>
      <c r="S29" s="298"/>
      <c r="T29" s="298"/>
      <c r="U29" s="298"/>
    </row>
    <row r="30" spans="1:21">
      <c r="A30" s="11">
        <v>24</v>
      </c>
      <c r="B30" s="38" t="s">
        <v>49</v>
      </c>
      <c r="C30" s="198">
        <v>5056</v>
      </c>
      <c r="D30" s="198">
        <v>5556</v>
      </c>
      <c r="E30" s="198">
        <v>5853</v>
      </c>
      <c r="F30" s="198">
        <v>5623.8119999999999</v>
      </c>
      <c r="G30" s="198">
        <v>1314</v>
      </c>
      <c r="H30" s="198">
        <v>1814</v>
      </c>
      <c r="I30" s="198">
        <v>2314</v>
      </c>
      <c r="J30" s="208">
        <v>16637</v>
      </c>
      <c r="K30" s="208">
        <v>10588</v>
      </c>
      <c r="L30" s="198">
        <v>10588</v>
      </c>
      <c r="M30" s="198">
        <v>11088</v>
      </c>
      <c r="N30" s="313">
        <v>14118</v>
      </c>
      <c r="O30" s="314">
        <v>14618</v>
      </c>
      <c r="P30" s="314">
        <v>15118.28529</v>
      </c>
      <c r="Q30" s="309">
        <v>90812.558569999994</v>
      </c>
      <c r="R30" s="309">
        <v>79016.637650000004</v>
      </c>
      <c r="S30" s="388">
        <v>91157.646619999985</v>
      </c>
      <c r="T30" s="388">
        <v>109527.40523</v>
      </c>
      <c r="U30" s="388">
        <v>108652.5</v>
      </c>
    </row>
    <row r="31" spans="1:21">
      <c r="A31" s="44"/>
      <c r="B31" s="45"/>
      <c r="C31" s="231"/>
      <c r="D31" s="230"/>
      <c r="E31" s="229"/>
      <c r="F31" s="229"/>
      <c r="G31" s="198"/>
      <c r="H31" s="196"/>
      <c r="I31" s="196"/>
      <c r="J31" s="209"/>
      <c r="K31" s="209"/>
      <c r="L31" s="196"/>
      <c r="M31" s="196"/>
      <c r="N31" s="298"/>
      <c r="O31" s="299"/>
      <c r="P31" s="317"/>
      <c r="Q31" s="311"/>
      <c r="R31" s="311"/>
      <c r="S31" s="298"/>
      <c r="T31" s="298"/>
      <c r="U31" s="298"/>
    </row>
    <row r="32" spans="1:21">
      <c r="A32" s="54">
        <v>28</v>
      </c>
      <c r="B32" s="47" t="s">
        <v>54</v>
      </c>
      <c r="C32" s="198">
        <v>46932</v>
      </c>
      <c r="D32" s="198">
        <v>43077</v>
      </c>
      <c r="E32" s="198">
        <v>48823</v>
      </c>
      <c r="F32" s="198">
        <v>50622.457999999999</v>
      </c>
      <c r="G32" s="198">
        <v>40017</v>
      </c>
      <c r="H32" s="198">
        <v>41596</v>
      </c>
      <c r="I32" s="198">
        <v>44152</v>
      </c>
      <c r="J32" s="208">
        <v>53629</v>
      </c>
      <c r="K32" s="208">
        <v>67217</v>
      </c>
      <c r="L32" s="198">
        <v>74609</v>
      </c>
      <c r="M32" s="198">
        <v>80303</v>
      </c>
      <c r="N32" s="313">
        <v>73810</v>
      </c>
      <c r="O32" s="314">
        <v>78886</v>
      </c>
      <c r="P32" s="314">
        <v>80545.774869999994</v>
      </c>
      <c r="Q32" s="309">
        <v>82505.813720000006</v>
      </c>
      <c r="R32" s="309">
        <v>79062.569900000002</v>
      </c>
      <c r="S32" s="388">
        <v>94632.579930000007</v>
      </c>
      <c r="T32" s="388">
        <v>97710.34676</v>
      </c>
      <c r="U32" s="388">
        <v>98933.3</v>
      </c>
    </row>
    <row r="33" spans="1:21">
      <c r="A33" s="53"/>
      <c r="B33" s="40"/>
      <c r="C33" s="229"/>
      <c r="D33" s="230"/>
      <c r="E33" s="229"/>
      <c r="F33" s="229"/>
      <c r="G33" s="198"/>
      <c r="H33" s="196"/>
      <c r="I33" s="196"/>
      <c r="J33" s="209"/>
      <c r="K33" s="209"/>
      <c r="L33" s="196"/>
      <c r="M33" s="196"/>
      <c r="N33" s="298"/>
      <c r="O33" s="299"/>
      <c r="P33" s="317"/>
      <c r="Q33" s="311"/>
      <c r="R33" s="311"/>
      <c r="S33" s="298"/>
      <c r="T33" s="298"/>
      <c r="U33" s="298"/>
    </row>
    <row r="34" spans="1:21">
      <c r="A34" s="11">
        <v>29</v>
      </c>
      <c r="B34" s="38" t="s">
        <v>51</v>
      </c>
      <c r="C34" s="198">
        <v>548322</v>
      </c>
      <c r="D34" s="198">
        <v>567358</v>
      </c>
      <c r="E34" s="198">
        <v>525128</v>
      </c>
      <c r="F34" s="198">
        <v>290095.79499999998</v>
      </c>
      <c r="G34" s="198">
        <v>0</v>
      </c>
      <c r="H34" s="198">
        <v>49434</v>
      </c>
      <c r="I34" s="198">
        <v>0</v>
      </c>
      <c r="J34" s="208">
        <v>0</v>
      </c>
      <c r="K34" s="208">
        <v>0</v>
      </c>
      <c r="L34" s="198">
        <v>0</v>
      </c>
      <c r="M34" s="198">
        <v>0</v>
      </c>
      <c r="N34" s="313">
        <v>0</v>
      </c>
      <c r="O34" s="314">
        <v>0</v>
      </c>
      <c r="P34" s="314">
        <v>0</v>
      </c>
      <c r="Q34" s="309">
        <v>-347777.26801999996</v>
      </c>
      <c r="R34" s="309">
        <v>-439013.35798999999</v>
      </c>
      <c r="S34" s="388">
        <v>-486886.39285</v>
      </c>
      <c r="T34" s="388">
        <v>-405127.68900000001</v>
      </c>
      <c r="U34" s="388">
        <v>-267965.09999999998</v>
      </c>
    </row>
    <row r="35" spans="1:21">
      <c r="A35" s="131"/>
      <c r="B35" s="132"/>
      <c r="C35" s="133"/>
      <c r="D35" s="143"/>
      <c r="E35" s="133"/>
      <c r="F35" s="56"/>
      <c r="G35" s="133"/>
      <c r="H35" s="133"/>
      <c r="I35" s="133"/>
      <c r="J35" s="133"/>
      <c r="K35" s="133"/>
      <c r="L35" s="167"/>
      <c r="M35" s="167"/>
      <c r="N35" s="167"/>
      <c r="O35" s="167"/>
      <c r="P35" s="331"/>
      <c r="Q35" s="311"/>
      <c r="R35" s="311"/>
      <c r="S35" s="360"/>
      <c r="T35" s="360"/>
      <c r="U35" s="360"/>
    </row>
    <row r="36" spans="1:21">
      <c r="A36" s="98"/>
      <c r="B36" s="144"/>
      <c r="C36" s="145"/>
      <c r="D36" s="146"/>
      <c r="E36" s="145"/>
      <c r="F36" s="61"/>
      <c r="G36" s="145"/>
      <c r="H36" s="145"/>
      <c r="I36" s="145"/>
      <c r="J36" s="145"/>
      <c r="K36" s="145"/>
      <c r="L36" s="225"/>
      <c r="M36" s="225"/>
      <c r="N36" s="225"/>
      <c r="O36" s="225"/>
      <c r="P36" s="225"/>
      <c r="Q36" s="341"/>
      <c r="R36" s="341"/>
      <c r="S36" s="362"/>
      <c r="T36" s="362"/>
      <c r="U36" s="362"/>
    </row>
    <row r="37" spans="1:21">
      <c r="A37" s="181"/>
      <c r="B37" s="181"/>
      <c r="C37" s="182"/>
      <c r="D37" s="182"/>
      <c r="E37" s="182"/>
      <c r="F37" s="182"/>
      <c r="G37" s="182"/>
      <c r="H37" s="182"/>
      <c r="I37" s="182"/>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8.7109375" style="75"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55</v>
      </c>
      <c r="C2" s="79"/>
      <c r="D2" s="79"/>
      <c r="E2" s="79"/>
      <c r="F2" s="79"/>
      <c r="G2" s="79"/>
      <c r="H2" s="79"/>
      <c r="I2" s="79"/>
      <c r="J2" s="349"/>
      <c r="K2" s="349"/>
      <c r="L2" s="349"/>
      <c r="M2" s="349"/>
      <c r="N2" s="349"/>
      <c r="O2" s="349" t="s">
        <v>103</v>
      </c>
      <c r="P2" s="349" t="s">
        <v>103</v>
      </c>
      <c r="Q2" s="350" t="s">
        <v>103</v>
      </c>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252661</v>
      </c>
      <c r="D4" s="228">
        <f t="shared" si="0"/>
        <v>262407</v>
      </c>
      <c r="E4" s="228">
        <f t="shared" si="0"/>
        <v>250803</v>
      </c>
      <c r="F4" s="228">
        <f t="shared" si="0"/>
        <v>257276</v>
      </c>
      <c r="G4" s="228">
        <f t="shared" si="0"/>
        <v>257133</v>
      </c>
      <c r="H4" s="228">
        <f t="shared" si="0"/>
        <v>270294</v>
      </c>
      <c r="I4" s="198">
        <f t="shared" ref="I4:O4" si="1">I6+I11+I16+I18</f>
        <v>274038</v>
      </c>
      <c r="J4" s="198">
        <f t="shared" si="1"/>
        <v>325879</v>
      </c>
      <c r="K4" s="198">
        <f t="shared" si="1"/>
        <v>328856</v>
      </c>
      <c r="L4" s="198">
        <f t="shared" si="1"/>
        <v>320648</v>
      </c>
      <c r="M4" s="198">
        <f t="shared" si="1"/>
        <v>324439</v>
      </c>
      <c r="N4" s="198">
        <f t="shared" si="1"/>
        <v>1454408.66289</v>
      </c>
      <c r="O4" s="198">
        <f t="shared" si="1"/>
        <v>342544.402</v>
      </c>
      <c r="P4" s="198">
        <f t="shared" ref="P4:Q4" si="2">P6+P11+P16+P18</f>
        <v>357387.11300000001</v>
      </c>
      <c r="Q4" s="13">
        <f t="shared" si="2"/>
        <v>368698.5</v>
      </c>
      <c r="R4" s="13">
        <f t="shared" ref="R4:S4" si="3">R6+R11+R16+R18</f>
        <v>400247.4</v>
      </c>
      <c r="S4" s="13">
        <f t="shared" si="3"/>
        <v>392105.19999999995</v>
      </c>
      <c r="T4" s="13">
        <f t="shared" ref="T4" si="4">T6+T11+T16+T18</f>
        <v>418419</v>
      </c>
      <c r="U4" s="13">
        <f t="shared" ref="U4" si="5">U6+U11+U16+U18</f>
        <v>444665.09</v>
      </c>
    </row>
    <row r="5" spans="1:21">
      <c r="A5" s="14"/>
      <c r="B5" s="15"/>
      <c r="C5" s="229"/>
      <c r="D5" s="230"/>
      <c r="E5" s="229"/>
      <c r="F5" s="229"/>
      <c r="G5" s="27"/>
      <c r="H5" s="196"/>
      <c r="I5" s="196"/>
      <c r="J5" s="213"/>
      <c r="K5" s="213"/>
      <c r="L5" s="196"/>
      <c r="M5" s="196"/>
      <c r="N5" s="196"/>
      <c r="O5" s="196"/>
      <c r="P5" s="196"/>
      <c r="Q5" s="18"/>
      <c r="R5" s="18"/>
      <c r="S5" s="18"/>
      <c r="T5" s="18"/>
      <c r="U5" s="18"/>
    </row>
    <row r="6" spans="1:21">
      <c r="A6" s="19">
        <v>10</v>
      </c>
      <c r="B6" s="12" t="s">
        <v>6</v>
      </c>
      <c r="C6" s="198">
        <f t="shared" ref="C6:H6" si="6">C7+C8+C9</f>
        <v>62263</v>
      </c>
      <c r="D6" s="198">
        <f t="shared" si="6"/>
        <v>76091</v>
      </c>
      <c r="E6" s="198">
        <f t="shared" si="6"/>
        <v>66560</v>
      </c>
      <c r="F6" s="198">
        <f t="shared" si="6"/>
        <v>65633</v>
      </c>
      <c r="G6" s="198">
        <f t="shared" si="6"/>
        <v>68583</v>
      </c>
      <c r="H6" s="198">
        <f t="shared" si="6"/>
        <v>175983</v>
      </c>
      <c r="I6" s="198">
        <f t="shared" ref="I6:N6" si="7">I7+I8+I9</f>
        <v>154984</v>
      </c>
      <c r="J6" s="198">
        <f t="shared" si="7"/>
        <v>183365</v>
      </c>
      <c r="K6" s="198">
        <f t="shared" si="7"/>
        <v>193671</v>
      </c>
      <c r="L6" s="198">
        <f t="shared" si="7"/>
        <v>171171</v>
      </c>
      <c r="M6" s="198">
        <f t="shared" si="7"/>
        <v>163891</v>
      </c>
      <c r="N6" s="198">
        <f t="shared" si="7"/>
        <v>1284884.66289</v>
      </c>
      <c r="O6" s="198">
        <f t="shared" ref="O6:T6" si="8">O7+O8+O9</f>
        <v>163454.42499999999</v>
      </c>
      <c r="P6" s="198">
        <f t="shared" si="8"/>
        <v>168120.65299999996</v>
      </c>
      <c r="Q6" s="13">
        <f t="shared" si="8"/>
        <v>164536.09999999998</v>
      </c>
      <c r="R6" s="13">
        <f t="shared" si="8"/>
        <v>185889.90000000002</v>
      </c>
      <c r="S6" s="13">
        <f t="shared" si="8"/>
        <v>156827.59999999998</v>
      </c>
      <c r="T6" s="13">
        <f t="shared" si="8"/>
        <v>153609.9</v>
      </c>
      <c r="U6" s="13">
        <f t="shared" ref="U6" si="9">U7+U8+U9</f>
        <v>152096.065</v>
      </c>
    </row>
    <row r="7" spans="1:21">
      <c r="A7" s="20" t="s">
        <v>7</v>
      </c>
      <c r="B7" s="21" t="s">
        <v>8</v>
      </c>
      <c r="C7" s="231">
        <v>31655</v>
      </c>
      <c r="D7" s="231">
        <v>39277</v>
      </c>
      <c r="E7" s="231">
        <v>31448</v>
      </c>
      <c r="F7" s="231">
        <f>9753+21689</f>
        <v>31442</v>
      </c>
      <c r="G7" s="231">
        <v>31568</v>
      </c>
      <c r="H7" s="231">
        <f>9150+95185</f>
        <v>104335</v>
      </c>
      <c r="I7" s="231">
        <f>25322+64266</f>
        <v>89588</v>
      </c>
      <c r="J7" s="24">
        <f>25574+77768</f>
        <v>103342</v>
      </c>
      <c r="K7" s="24">
        <f>43530+119783</f>
        <v>163313</v>
      </c>
      <c r="L7" s="196">
        <f>30625+106064</f>
        <v>136689</v>
      </c>
      <c r="M7" s="196">
        <v>120097</v>
      </c>
      <c r="N7" s="298">
        <v>1252114.66289</v>
      </c>
      <c r="O7" s="298">
        <v>109081.128</v>
      </c>
      <c r="P7" s="298">
        <v>116597.51999999999</v>
      </c>
      <c r="Q7" s="302">
        <v>117384.8</v>
      </c>
      <c r="R7" s="302">
        <v>139142</v>
      </c>
      <c r="S7" s="302">
        <v>101250.9</v>
      </c>
      <c r="T7" s="302">
        <v>92707.5</v>
      </c>
      <c r="U7" s="302">
        <v>95208.668999999994</v>
      </c>
    </row>
    <row r="8" spans="1:21">
      <c r="A8" s="25">
        <v>102</v>
      </c>
      <c r="B8" s="26" t="s">
        <v>9</v>
      </c>
      <c r="C8" s="231">
        <v>26324</v>
      </c>
      <c r="D8" s="231">
        <v>26786</v>
      </c>
      <c r="E8" s="231">
        <v>27362</v>
      </c>
      <c r="F8" s="231">
        <v>28728</v>
      </c>
      <c r="G8" s="231">
        <v>28730</v>
      </c>
      <c r="H8" s="231">
        <v>53469</v>
      </c>
      <c r="I8" s="231">
        <v>49859</v>
      </c>
      <c r="J8" s="27">
        <v>37116</v>
      </c>
      <c r="K8" s="27">
        <v>18654</v>
      </c>
      <c r="L8" s="199">
        <f>18483</f>
        <v>18483</v>
      </c>
      <c r="M8" s="199">
        <v>18116</v>
      </c>
      <c r="N8" s="300">
        <v>17149</v>
      </c>
      <c r="O8" s="300">
        <v>39193.631000000001</v>
      </c>
      <c r="P8" s="300">
        <v>35943.612999999998</v>
      </c>
      <c r="Q8" s="302">
        <v>33302.5</v>
      </c>
      <c r="R8" s="302">
        <v>29462.2</v>
      </c>
      <c r="S8" s="302">
        <v>38543.899999999994</v>
      </c>
      <c r="T8" s="302">
        <v>42636.399999999994</v>
      </c>
      <c r="U8" s="302">
        <v>38179.600999999995</v>
      </c>
    </row>
    <row r="9" spans="1:21">
      <c r="A9" s="25">
        <v>103</v>
      </c>
      <c r="B9" s="26" t="s">
        <v>10</v>
      </c>
      <c r="C9" s="231">
        <v>4284</v>
      </c>
      <c r="D9" s="231">
        <v>10028</v>
      </c>
      <c r="E9" s="231">
        <v>7750</v>
      </c>
      <c r="F9" s="231">
        <v>5463</v>
      </c>
      <c r="G9" s="231">
        <v>8285</v>
      </c>
      <c r="H9" s="231">
        <v>18179</v>
      </c>
      <c r="I9" s="231">
        <v>15537</v>
      </c>
      <c r="J9" s="27">
        <v>42907</v>
      </c>
      <c r="K9" s="27">
        <v>11704</v>
      </c>
      <c r="L9" s="196">
        <f>15999</f>
        <v>15999</v>
      </c>
      <c r="M9" s="196">
        <v>25678</v>
      </c>
      <c r="N9" s="298">
        <v>15621</v>
      </c>
      <c r="O9" s="298">
        <v>15179.665999999999</v>
      </c>
      <c r="P9" s="298">
        <v>15579.52</v>
      </c>
      <c r="Q9" s="302">
        <v>13848.8</v>
      </c>
      <c r="R9" s="302">
        <v>17285.7</v>
      </c>
      <c r="S9" s="302">
        <v>17032.8</v>
      </c>
      <c r="T9" s="302">
        <v>18266</v>
      </c>
      <c r="U9" s="302">
        <v>18707.794999999998</v>
      </c>
    </row>
    <row r="10" spans="1:21">
      <c r="A10" s="28"/>
      <c r="B10" s="29"/>
      <c r="C10" s="232"/>
      <c r="D10" s="233"/>
      <c r="E10" s="232"/>
      <c r="F10" s="232"/>
      <c r="G10" s="27"/>
      <c r="H10" s="196"/>
      <c r="I10" s="196"/>
      <c r="J10" s="238"/>
      <c r="K10" s="238"/>
      <c r="L10" s="196"/>
      <c r="M10" s="196"/>
      <c r="N10" s="196"/>
      <c r="O10" s="196"/>
      <c r="P10" s="196"/>
      <c r="Q10" s="18"/>
      <c r="R10" s="18"/>
      <c r="S10" s="18"/>
      <c r="T10" s="18"/>
      <c r="U10" s="18"/>
    </row>
    <row r="11" spans="1:21">
      <c r="A11" s="19">
        <v>11</v>
      </c>
      <c r="B11" s="12" t="s">
        <v>11</v>
      </c>
      <c r="C11" s="198">
        <f t="shared" ref="C11:H11" si="10">C12+C13+C14</f>
        <v>190398</v>
      </c>
      <c r="D11" s="198">
        <f t="shared" si="10"/>
        <v>186316</v>
      </c>
      <c r="E11" s="198">
        <f t="shared" si="10"/>
        <v>184243</v>
      </c>
      <c r="F11" s="198">
        <f t="shared" si="10"/>
        <v>191643</v>
      </c>
      <c r="G11" s="198">
        <f t="shared" si="10"/>
        <v>188550</v>
      </c>
      <c r="H11" s="198">
        <f t="shared" si="10"/>
        <v>94311</v>
      </c>
      <c r="I11" s="198">
        <f t="shared" ref="I11:N11" si="11">I12+I13+I14</f>
        <v>119054</v>
      </c>
      <c r="J11" s="198">
        <f t="shared" si="11"/>
        <v>142514</v>
      </c>
      <c r="K11" s="198">
        <f t="shared" si="11"/>
        <v>135134</v>
      </c>
      <c r="L11" s="198">
        <f t="shared" si="11"/>
        <v>149323</v>
      </c>
      <c r="M11" s="198">
        <f t="shared" si="11"/>
        <v>160411</v>
      </c>
      <c r="N11" s="198">
        <f t="shared" si="11"/>
        <v>169404</v>
      </c>
      <c r="O11" s="198">
        <f>O12+O13+O14</f>
        <v>179089.97699999998</v>
      </c>
      <c r="P11" s="198">
        <f>P12+P13+P14</f>
        <v>189266.46000000002</v>
      </c>
      <c r="Q11" s="13">
        <f t="shared" ref="Q11" si="12">Q12+Q13+Q14</f>
        <v>204162.4</v>
      </c>
      <c r="R11" s="13">
        <f t="shared" ref="R11:S11" si="13">R12+R13+R14</f>
        <v>214357.5</v>
      </c>
      <c r="S11" s="13">
        <f t="shared" si="13"/>
        <v>235277.59999999998</v>
      </c>
      <c r="T11" s="13">
        <f t="shared" ref="T11" si="14">T12+T13+T14</f>
        <v>264809.09999999998</v>
      </c>
      <c r="U11" s="13">
        <f t="shared" ref="U11" si="15">U12+U13+U14</f>
        <v>292569.02500000002</v>
      </c>
    </row>
    <row r="12" spans="1:21">
      <c r="A12" s="32">
        <v>114</v>
      </c>
      <c r="B12" s="21" t="s">
        <v>12</v>
      </c>
      <c r="C12" s="231">
        <v>93402</v>
      </c>
      <c r="D12" s="231">
        <v>97124</v>
      </c>
      <c r="E12" s="231">
        <v>100638</v>
      </c>
      <c r="F12" s="231">
        <v>111474</v>
      </c>
      <c r="G12" s="231">
        <v>109437</v>
      </c>
      <c r="H12" s="231">
        <v>44659</v>
      </c>
      <c r="I12" s="231">
        <v>61866</v>
      </c>
      <c r="J12" s="24">
        <v>78174</v>
      </c>
      <c r="K12" s="24">
        <v>74539</v>
      </c>
      <c r="L12" s="196">
        <f>85256</f>
        <v>85256</v>
      </c>
      <c r="M12" s="196">
        <v>91555</v>
      </c>
      <c r="N12" s="298">
        <v>96551</v>
      </c>
      <c r="O12" s="298">
        <v>94230.441000000006</v>
      </c>
      <c r="P12" s="298">
        <v>101024.89000000001</v>
      </c>
      <c r="Q12" s="302">
        <v>112995.8</v>
      </c>
      <c r="R12" s="302">
        <v>119758.5</v>
      </c>
      <c r="S12" s="302">
        <v>128807.29999999999</v>
      </c>
      <c r="T12" s="302">
        <v>143994.79999999999</v>
      </c>
      <c r="U12" s="302">
        <v>155864.73199999999</v>
      </c>
    </row>
    <row r="13" spans="1:21">
      <c r="A13" s="25">
        <v>115</v>
      </c>
      <c r="B13" s="26" t="s">
        <v>13</v>
      </c>
      <c r="C13" s="231">
        <v>58348</v>
      </c>
      <c r="D13" s="231">
        <v>53334</v>
      </c>
      <c r="E13" s="231">
        <v>50769</v>
      </c>
      <c r="F13" s="231">
        <v>49899</v>
      </c>
      <c r="G13" s="231">
        <v>49698</v>
      </c>
      <c r="H13" s="231">
        <v>49652</v>
      </c>
      <c r="I13" s="231">
        <v>49886</v>
      </c>
      <c r="J13" s="27">
        <v>49823</v>
      </c>
      <c r="K13" s="27">
        <v>50196</v>
      </c>
      <c r="L13" s="199">
        <f>50537</f>
        <v>50537</v>
      </c>
      <c r="M13" s="199">
        <v>50674</v>
      </c>
      <c r="N13" s="300">
        <v>51311</v>
      </c>
      <c r="O13" s="300">
        <v>61404.733999999997</v>
      </c>
      <c r="P13" s="300">
        <v>61782.840000000004</v>
      </c>
      <c r="Q13" s="302">
        <v>61911.7</v>
      </c>
      <c r="R13" s="302">
        <v>62448.3</v>
      </c>
      <c r="S13" s="302">
        <v>74203.399999999994</v>
      </c>
      <c r="T13" s="302">
        <v>87952.299999999988</v>
      </c>
      <c r="U13" s="302">
        <v>102105.817</v>
      </c>
    </row>
    <row r="14" spans="1:21">
      <c r="A14" s="33" t="s">
        <v>14</v>
      </c>
      <c r="B14" s="34" t="s">
        <v>15</v>
      </c>
      <c r="C14" s="231">
        <v>38648</v>
      </c>
      <c r="D14" s="231">
        <v>35858</v>
      </c>
      <c r="E14" s="231">
        <v>32836</v>
      </c>
      <c r="F14" s="231">
        <v>30270</v>
      </c>
      <c r="G14" s="231">
        <v>29415</v>
      </c>
      <c r="H14" s="231">
        <v>0</v>
      </c>
      <c r="I14" s="231">
        <v>7302</v>
      </c>
      <c r="J14" s="27">
        <v>14517</v>
      </c>
      <c r="K14" s="27">
        <f>10399</f>
        <v>10399</v>
      </c>
      <c r="L14" s="196">
        <f>13530</f>
        <v>13530</v>
      </c>
      <c r="M14" s="196">
        <v>18182</v>
      </c>
      <c r="N14" s="298">
        <v>21542</v>
      </c>
      <c r="O14" s="298">
        <v>23454.802</v>
      </c>
      <c r="P14" s="298">
        <v>26458.73</v>
      </c>
      <c r="Q14" s="302">
        <v>29254.9</v>
      </c>
      <c r="R14" s="302">
        <v>32150.7</v>
      </c>
      <c r="S14" s="302">
        <v>32266.9</v>
      </c>
      <c r="T14" s="302">
        <v>32862</v>
      </c>
      <c r="U14" s="302">
        <v>34598.476000000002</v>
      </c>
    </row>
    <row r="15" spans="1:21">
      <c r="A15" s="35"/>
      <c r="B15" s="36"/>
      <c r="C15" s="232"/>
      <c r="D15" s="233"/>
      <c r="E15" s="232"/>
      <c r="F15" s="232"/>
      <c r="G15" s="27"/>
      <c r="H15" s="200"/>
      <c r="I15" s="234"/>
      <c r="J15" s="238"/>
      <c r="K15" s="238"/>
      <c r="L15" s="200"/>
      <c r="M15" s="200"/>
      <c r="N15" s="305"/>
      <c r="O15" s="305"/>
      <c r="P15" s="305"/>
      <c r="Q15" s="308"/>
      <c r="R15" s="308"/>
      <c r="S15" s="308"/>
      <c r="T15" s="308"/>
      <c r="U15" s="308"/>
    </row>
    <row r="16" spans="1:21">
      <c r="A16" s="11">
        <v>12</v>
      </c>
      <c r="B16" s="38" t="s">
        <v>16</v>
      </c>
      <c r="C16" s="198">
        <v>0</v>
      </c>
      <c r="D16" s="198">
        <v>0</v>
      </c>
      <c r="E16" s="198">
        <v>0</v>
      </c>
      <c r="F16" s="198">
        <v>0</v>
      </c>
      <c r="G16" s="198">
        <v>0</v>
      </c>
      <c r="H16" s="198">
        <v>0</v>
      </c>
      <c r="I16" s="198">
        <v>0</v>
      </c>
      <c r="J16" s="198">
        <v>0</v>
      </c>
      <c r="K16" s="198">
        <v>51</v>
      </c>
      <c r="L16" s="198">
        <v>154</v>
      </c>
      <c r="M16" s="198">
        <v>137</v>
      </c>
      <c r="N16" s="313">
        <v>120</v>
      </c>
      <c r="O16" s="313">
        <v>0</v>
      </c>
      <c r="P16" s="313">
        <v>0</v>
      </c>
      <c r="Q16" s="309">
        <v>0</v>
      </c>
      <c r="R16" s="309">
        <v>0</v>
      </c>
      <c r="S16" s="309">
        <v>0</v>
      </c>
      <c r="T16" s="309">
        <v>0</v>
      </c>
      <c r="U16" s="309">
        <v>0</v>
      </c>
    </row>
    <row r="17" spans="1:21">
      <c r="A17" s="39"/>
      <c r="B17" s="40"/>
      <c r="C17" s="229"/>
      <c r="D17" s="230"/>
      <c r="E17" s="229"/>
      <c r="F17" s="229"/>
      <c r="G17" s="235"/>
      <c r="H17" s="196"/>
      <c r="I17" s="196"/>
      <c r="J17" s="213"/>
      <c r="K17" s="213"/>
      <c r="L17" s="196"/>
      <c r="M17" s="196"/>
      <c r="N17" s="298"/>
      <c r="O17" s="298"/>
      <c r="P17" s="298"/>
      <c r="Q17" s="311"/>
      <c r="R17" s="311"/>
      <c r="S17" s="311"/>
      <c r="T17" s="311"/>
      <c r="U17" s="311"/>
    </row>
    <row r="18" spans="1:21">
      <c r="A18" s="11">
        <v>13</v>
      </c>
      <c r="B18" s="38" t="s">
        <v>17</v>
      </c>
      <c r="C18" s="198">
        <v>0</v>
      </c>
      <c r="D18" s="198">
        <v>0</v>
      </c>
      <c r="E18" s="198">
        <v>0</v>
      </c>
      <c r="F18" s="198">
        <v>0</v>
      </c>
      <c r="G18" s="198">
        <v>0</v>
      </c>
      <c r="H18" s="198">
        <v>0</v>
      </c>
      <c r="I18" s="198">
        <v>0</v>
      </c>
      <c r="J18" s="198">
        <v>0</v>
      </c>
      <c r="K18" s="198">
        <v>0</v>
      </c>
      <c r="L18" s="198">
        <v>0</v>
      </c>
      <c r="M18" s="198">
        <v>0</v>
      </c>
      <c r="N18" s="313">
        <v>0</v>
      </c>
      <c r="O18" s="313">
        <v>0</v>
      </c>
      <c r="P18" s="313">
        <v>0</v>
      </c>
      <c r="Q18" s="309">
        <v>0</v>
      </c>
      <c r="R18" s="309">
        <v>0</v>
      </c>
      <c r="S18" s="309">
        <v>0</v>
      </c>
      <c r="T18" s="309">
        <v>0</v>
      </c>
      <c r="U18" s="309">
        <v>0</v>
      </c>
    </row>
    <row r="19" spans="1:21">
      <c r="A19" s="41"/>
      <c r="B19" s="42"/>
      <c r="C19" s="236"/>
      <c r="D19" s="237"/>
      <c r="E19" s="236"/>
      <c r="F19" s="236"/>
      <c r="G19" s="24"/>
      <c r="H19" s="196"/>
      <c r="I19" s="196"/>
      <c r="J19" s="24"/>
      <c r="K19" s="24"/>
      <c r="L19" s="196"/>
      <c r="M19" s="196"/>
      <c r="N19" s="298"/>
      <c r="O19" s="298"/>
      <c r="P19" s="298"/>
      <c r="Q19" s="311"/>
      <c r="R19" s="311"/>
      <c r="S19" s="311"/>
      <c r="T19" s="311"/>
      <c r="U19" s="311"/>
    </row>
    <row r="20" spans="1:21">
      <c r="A20" s="43"/>
      <c r="B20" s="36"/>
      <c r="C20" s="232"/>
      <c r="D20" s="233"/>
      <c r="E20" s="232"/>
      <c r="F20" s="232"/>
      <c r="G20" s="238"/>
      <c r="H20" s="200"/>
      <c r="I20" s="234"/>
      <c r="J20" s="238"/>
      <c r="K20" s="238"/>
      <c r="L20" s="200"/>
      <c r="M20" s="200"/>
      <c r="N20" s="305"/>
      <c r="O20" s="305"/>
      <c r="P20" s="305"/>
      <c r="Q20" s="308"/>
      <c r="R20" s="308"/>
      <c r="S20" s="308"/>
      <c r="T20" s="308"/>
      <c r="U20" s="308"/>
    </row>
    <row r="21" spans="1:21">
      <c r="A21" s="11">
        <v>2</v>
      </c>
      <c r="B21" s="38" t="s">
        <v>18</v>
      </c>
      <c r="C21" s="198">
        <f t="shared" ref="C21:H21" si="16">C23+C28+C30+C32+C34</f>
        <v>252661</v>
      </c>
      <c r="D21" s="198">
        <f t="shared" si="16"/>
        <v>262407</v>
      </c>
      <c r="E21" s="198">
        <f t="shared" si="16"/>
        <v>250803</v>
      </c>
      <c r="F21" s="198">
        <f t="shared" si="16"/>
        <v>257276</v>
      </c>
      <c r="G21" s="198">
        <f t="shared" si="16"/>
        <v>257133</v>
      </c>
      <c r="H21" s="198">
        <f t="shared" si="16"/>
        <v>270294</v>
      </c>
      <c r="I21" s="198">
        <f t="shared" ref="I21:N21" si="17">I23+I28+I30+I32+I34</f>
        <v>274038</v>
      </c>
      <c r="J21" s="198">
        <f t="shared" si="17"/>
        <v>325879</v>
      </c>
      <c r="K21" s="198">
        <f t="shared" si="17"/>
        <v>328856</v>
      </c>
      <c r="L21" s="198">
        <f t="shared" si="17"/>
        <v>320648</v>
      </c>
      <c r="M21" s="198">
        <f t="shared" si="17"/>
        <v>324439</v>
      </c>
      <c r="N21" s="198">
        <f t="shared" si="17"/>
        <v>307925</v>
      </c>
      <c r="O21" s="198">
        <f>O23+O28+O30+O32+O34</f>
        <v>342544.40299999999</v>
      </c>
      <c r="P21" s="198">
        <f>P23+P28+P30+P32+P34</f>
        <v>357387.11</v>
      </c>
      <c r="Q21" s="13">
        <f t="shared" ref="Q21:R21" si="18">Q23+Q28+Q30+Q32+Q34</f>
        <v>368698.7</v>
      </c>
      <c r="R21" s="13">
        <f t="shared" si="18"/>
        <v>400247.39999999997</v>
      </c>
      <c r="S21" s="13">
        <f t="shared" ref="S21:T21" si="19">S23+S28+S30+S32+S34</f>
        <v>392105.2</v>
      </c>
      <c r="T21" s="13">
        <f t="shared" si="19"/>
        <v>418419</v>
      </c>
      <c r="U21" s="13">
        <f t="shared" ref="U21" si="20">U23+U28+U30+U32+U34</f>
        <v>444665.09100000001</v>
      </c>
    </row>
    <row r="22" spans="1:21">
      <c r="A22" s="44"/>
      <c r="B22" s="45"/>
      <c r="C22" s="229"/>
      <c r="D22" s="230"/>
      <c r="E22" s="229"/>
      <c r="F22" s="229"/>
      <c r="G22" s="24"/>
      <c r="H22" s="196"/>
      <c r="I22" s="196"/>
      <c r="J22" s="213"/>
      <c r="K22" s="213"/>
      <c r="L22" s="196"/>
      <c r="M22" s="196"/>
      <c r="N22" s="196"/>
      <c r="O22" s="196"/>
      <c r="P22" s="196"/>
      <c r="Q22" s="18"/>
      <c r="R22" s="18"/>
      <c r="S22" s="18"/>
      <c r="T22" s="18"/>
      <c r="U22" s="18"/>
    </row>
    <row r="23" spans="1:21">
      <c r="A23" s="46">
        <v>20</v>
      </c>
      <c r="B23" s="47" t="s">
        <v>19</v>
      </c>
      <c r="C23" s="198">
        <f t="shared" ref="C23:H23" si="21">C24+C25+C26</f>
        <v>189592</v>
      </c>
      <c r="D23" s="198">
        <f t="shared" si="21"/>
        <v>194230</v>
      </c>
      <c r="E23" s="198">
        <f t="shared" si="21"/>
        <v>193095</v>
      </c>
      <c r="F23" s="198">
        <f t="shared" si="21"/>
        <v>207473</v>
      </c>
      <c r="G23" s="198">
        <f t="shared" si="21"/>
        <v>211599</v>
      </c>
      <c r="H23" s="198">
        <f t="shared" si="21"/>
        <v>227219</v>
      </c>
      <c r="I23" s="198">
        <f t="shared" ref="I23:N23" si="22">I24+I25+I26</f>
        <v>193180</v>
      </c>
      <c r="J23" s="198">
        <f t="shared" si="22"/>
        <v>190235</v>
      </c>
      <c r="K23" s="198">
        <f t="shared" si="22"/>
        <v>167205</v>
      </c>
      <c r="L23" s="198">
        <f t="shared" si="22"/>
        <v>148202</v>
      </c>
      <c r="M23" s="198">
        <f t="shared" si="22"/>
        <v>141013</v>
      </c>
      <c r="N23" s="198">
        <f t="shared" si="22"/>
        <v>116520</v>
      </c>
      <c r="O23" s="198">
        <f>O24+O25+O26</f>
        <v>136647.82800000001</v>
      </c>
      <c r="P23" s="198">
        <f>P24+P25+P26</f>
        <v>136584.08000000002</v>
      </c>
      <c r="Q23" s="13">
        <f t="shared" ref="Q23:R23" si="23">Q24+Q25+Q26</f>
        <v>129611.6</v>
      </c>
      <c r="R23" s="13">
        <f t="shared" si="23"/>
        <v>137453.4</v>
      </c>
      <c r="S23" s="13">
        <f t="shared" ref="S23:T23" si="24">S24+S25+S26</f>
        <v>120094.00000000001</v>
      </c>
      <c r="T23" s="13">
        <f t="shared" si="24"/>
        <v>136863.9</v>
      </c>
      <c r="U23" s="13">
        <f t="shared" ref="U23" si="25">U24+U25+U26</f>
        <v>158216.93299999999</v>
      </c>
    </row>
    <row r="24" spans="1:21">
      <c r="A24" s="48" t="s">
        <v>20</v>
      </c>
      <c r="B24" s="49" t="s">
        <v>21</v>
      </c>
      <c r="C24" s="231">
        <v>17437</v>
      </c>
      <c r="D24" s="231">
        <v>17165</v>
      </c>
      <c r="E24" s="231">
        <v>12042</v>
      </c>
      <c r="F24" s="231">
        <v>10525</v>
      </c>
      <c r="G24" s="231">
        <v>9996</v>
      </c>
      <c r="H24" s="231">
        <f>26941+0</f>
        <v>26941</v>
      </c>
      <c r="I24" s="231">
        <f>27527</f>
        <v>27527</v>
      </c>
      <c r="J24" s="24">
        <f>31907</f>
        <v>31907</v>
      </c>
      <c r="K24" s="24">
        <v>28888</v>
      </c>
      <c r="L24" s="196">
        <f>31365</f>
        <v>31365</v>
      </c>
      <c r="M24" s="196">
        <v>33803</v>
      </c>
      <c r="N24" s="298">
        <v>30810</v>
      </c>
      <c r="O24" s="298">
        <v>51995.601000000002</v>
      </c>
      <c r="P24" s="298">
        <v>46056.68</v>
      </c>
      <c r="Q24" s="302">
        <v>36294</v>
      </c>
      <c r="R24" s="302">
        <v>52178</v>
      </c>
      <c r="S24" s="302">
        <v>34430.9</v>
      </c>
      <c r="T24" s="302">
        <v>45574.2</v>
      </c>
      <c r="U24" s="302">
        <v>62957.06</v>
      </c>
    </row>
    <row r="25" spans="1:21">
      <c r="A25" s="50">
        <v>202</v>
      </c>
      <c r="B25" s="51" t="s">
        <v>22</v>
      </c>
      <c r="C25" s="231">
        <v>166311</v>
      </c>
      <c r="D25" s="231">
        <v>170493</v>
      </c>
      <c r="E25" s="231">
        <v>176000</v>
      </c>
      <c r="F25" s="231">
        <v>192000</v>
      </c>
      <c r="G25" s="231">
        <v>194600</v>
      </c>
      <c r="H25" s="231">
        <v>190390</v>
      </c>
      <c r="I25" s="231">
        <v>155390</v>
      </c>
      <c r="J25" s="27">
        <v>150000</v>
      </c>
      <c r="K25" s="27">
        <v>130000</v>
      </c>
      <c r="L25" s="199">
        <v>106200</v>
      </c>
      <c r="M25" s="199">
        <v>96200</v>
      </c>
      <c r="N25" s="300">
        <v>76200</v>
      </c>
      <c r="O25" s="300">
        <v>70858.180999999997</v>
      </c>
      <c r="P25" s="300">
        <v>74121.509999999995</v>
      </c>
      <c r="Q25" s="302">
        <v>76360.100000000006</v>
      </c>
      <c r="R25" s="302">
        <v>67951.8</v>
      </c>
      <c r="S25" s="302">
        <v>74437.3</v>
      </c>
      <c r="T25" s="302">
        <v>77708.3</v>
      </c>
      <c r="U25" s="302">
        <v>80002.995999999999</v>
      </c>
    </row>
    <row r="26" spans="1:21">
      <c r="A26" s="50">
        <v>205</v>
      </c>
      <c r="B26" s="52" t="s">
        <v>23</v>
      </c>
      <c r="C26" s="231">
        <v>5844</v>
      </c>
      <c r="D26" s="231">
        <v>6572</v>
      </c>
      <c r="E26" s="231">
        <v>5053</v>
      </c>
      <c r="F26" s="231">
        <v>4948</v>
      </c>
      <c r="G26" s="231">
        <v>7003</v>
      </c>
      <c r="H26" s="231">
        <v>9888</v>
      </c>
      <c r="I26" s="231">
        <v>10263</v>
      </c>
      <c r="J26" s="27">
        <v>8328</v>
      </c>
      <c r="K26" s="27">
        <v>8317</v>
      </c>
      <c r="L26" s="196">
        <v>10637</v>
      </c>
      <c r="M26" s="196">
        <v>11010</v>
      </c>
      <c r="N26" s="298">
        <v>9510</v>
      </c>
      <c r="O26" s="298">
        <v>13794.046</v>
      </c>
      <c r="P26" s="298">
        <v>16405.89</v>
      </c>
      <c r="Q26" s="302">
        <v>16957.5</v>
      </c>
      <c r="R26" s="302">
        <v>17323.599999999999</v>
      </c>
      <c r="S26" s="302">
        <v>11225.8</v>
      </c>
      <c r="T26" s="302">
        <v>13581.4</v>
      </c>
      <c r="U26" s="302">
        <v>15256.877</v>
      </c>
    </row>
    <row r="27" spans="1:21">
      <c r="A27" s="35"/>
      <c r="B27" s="36"/>
      <c r="C27" s="232"/>
      <c r="D27" s="233"/>
      <c r="E27" s="232"/>
      <c r="F27" s="232"/>
      <c r="G27" s="238"/>
      <c r="H27" s="200"/>
      <c r="I27" s="234"/>
      <c r="J27" s="238"/>
      <c r="K27" s="238"/>
      <c r="L27" s="200"/>
      <c r="M27" s="200"/>
      <c r="N27" s="305"/>
      <c r="O27" s="305"/>
      <c r="P27" s="305"/>
      <c r="Q27" s="308"/>
      <c r="R27" s="308"/>
      <c r="S27" s="308"/>
      <c r="T27" s="308"/>
      <c r="U27" s="308"/>
    </row>
    <row r="28" spans="1:21">
      <c r="A28" s="11">
        <v>23</v>
      </c>
      <c r="B28" s="38" t="s">
        <v>24</v>
      </c>
      <c r="C28" s="198">
        <v>1859</v>
      </c>
      <c r="D28" s="198">
        <v>1403</v>
      </c>
      <c r="E28" s="198">
        <v>1362</v>
      </c>
      <c r="F28" s="198">
        <v>1366</v>
      </c>
      <c r="G28" s="198">
        <v>1329</v>
      </c>
      <c r="H28" s="198">
        <v>1454</v>
      </c>
      <c r="I28" s="198">
        <v>1544</v>
      </c>
      <c r="J28" s="201">
        <v>1662</v>
      </c>
      <c r="K28" s="201">
        <v>1740</v>
      </c>
      <c r="L28" s="198">
        <v>1720</v>
      </c>
      <c r="M28" s="198">
        <v>1700</v>
      </c>
      <c r="N28" s="313">
        <v>1680</v>
      </c>
      <c r="O28" s="313">
        <v>0</v>
      </c>
      <c r="P28" s="313"/>
      <c r="Q28" s="309"/>
      <c r="R28" s="309"/>
      <c r="S28" s="309"/>
      <c r="T28" s="309"/>
      <c r="U28" s="309"/>
    </row>
    <row r="29" spans="1:21">
      <c r="A29" s="53"/>
      <c r="B29" s="40"/>
      <c r="C29" s="229"/>
      <c r="D29" s="230"/>
      <c r="E29" s="229"/>
      <c r="F29" s="229"/>
      <c r="G29" s="213"/>
      <c r="H29" s="196"/>
      <c r="I29" s="196"/>
      <c r="J29" s="213"/>
      <c r="K29" s="213"/>
      <c r="L29" s="196"/>
      <c r="M29" s="196"/>
      <c r="N29" s="298"/>
      <c r="O29" s="298"/>
      <c r="P29" s="298"/>
      <c r="Q29" s="311"/>
      <c r="R29" s="311"/>
      <c r="S29" s="311"/>
      <c r="T29" s="311"/>
      <c r="U29" s="311"/>
    </row>
    <row r="30" spans="1:21">
      <c r="A30" s="11">
        <v>24</v>
      </c>
      <c r="B30" s="38" t="s">
        <v>25</v>
      </c>
      <c r="C30" s="198">
        <v>0</v>
      </c>
      <c r="D30" s="198">
        <v>2000</v>
      </c>
      <c r="E30" s="198">
        <v>0</v>
      </c>
      <c r="F30" s="198">
        <v>0</v>
      </c>
      <c r="G30" s="198">
        <v>0</v>
      </c>
      <c r="H30" s="198">
        <v>0</v>
      </c>
      <c r="I30" s="198">
        <v>0</v>
      </c>
      <c r="J30" s="201">
        <v>14348</v>
      </c>
      <c r="K30" s="201">
        <v>14131</v>
      </c>
      <c r="L30" s="198">
        <v>12968</v>
      </c>
      <c r="M30" s="198">
        <v>12892</v>
      </c>
      <c r="N30" s="313">
        <v>14038</v>
      </c>
      <c r="O30" s="313">
        <v>15859.973999999998</v>
      </c>
      <c r="P30" s="313">
        <v>14843.73</v>
      </c>
      <c r="Q30" s="309">
        <v>15018.9</v>
      </c>
      <c r="R30" s="309">
        <v>15143.8</v>
      </c>
      <c r="S30" s="309">
        <v>16515.099999999999</v>
      </c>
      <c r="T30" s="309">
        <v>25033.1</v>
      </c>
      <c r="U30" s="309">
        <v>21478.007000000001</v>
      </c>
    </row>
    <row r="31" spans="1:21">
      <c r="A31" s="44"/>
      <c r="B31" s="45"/>
      <c r="C31" s="231"/>
      <c r="D31" s="230"/>
      <c r="E31" s="229"/>
      <c r="F31" s="229"/>
      <c r="G31" s="198"/>
      <c r="H31" s="196"/>
      <c r="I31" s="196"/>
      <c r="J31" s="213"/>
      <c r="K31" s="213"/>
      <c r="L31" s="196"/>
      <c r="M31" s="196"/>
      <c r="N31" s="298"/>
      <c r="O31" s="298"/>
      <c r="P31" s="298"/>
      <c r="Q31" s="311"/>
      <c r="R31" s="311"/>
      <c r="S31" s="311"/>
      <c r="T31" s="311"/>
      <c r="U31" s="311"/>
    </row>
    <row r="32" spans="1:21">
      <c r="A32" s="54">
        <v>28</v>
      </c>
      <c r="B32" s="47" t="s">
        <v>26</v>
      </c>
      <c r="C32" s="198">
        <v>28652</v>
      </c>
      <c r="D32" s="198">
        <v>31707</v>
      </c>
      <c r="E32" s="198">
        <v>32717</v>
      </c>
      <c r="F32" s="198">
        <v>32877</v>
      </c>
      <c r="G32" s="198">
        <v>32300</v>
      </c>
      <c r="H32" s="198">
        <v>33369</v>
      </c>
      <c r="I32" s="198">
        <v>40124</v>
      </c>
      <c r="J32" s="201">
        <v>41636</v>
      </c>
      <c r="K32" s="201">
        <v>41883</v>
      </c>
      <c r="L32" s="198">
        <v>40988</v>
      </c>
      <c r="M32" s="198">
        <v>37874</v>
      </c>
      <c r="N32" s="313">
        <v>33834</v>
      </c>
      <c r="O32" s="313">
        <v>2616.6010000000001</v>
      </c>
      <c r="P32" s="313">
        <v>2968.03</v>
      </c>
      <c r="Q32" s="309">
        <v>3083.1</v>
      </c>
      <c r="R32" s="309">
        <v>3037.4</v>
      </c>
      <c r="S32" s="309">
        <v>3429</v>
      </c>
      <c r="T32" s="309">
        <v>3166.7</v>
      </c>
      <c r="U32" s="309">
        <v>3373.556</v>
      </c>
    </row>
    <row r="33" spans="1:21">
      <c r="A33" s="53"/>
      <c r="B33" s="40"/>
      <c r="C33" s="229"/>
      <c r="D33" s="230"/>
      <c r="E33" s="229"/>
      <c r="F33" s="229"/>
      <c r="G33" s="198"/>
      <c r="H33" s="196"/>
      <c r="I33" s="196"/>
      <c r="J33" s="213"/>
      <c r="K33" s="213"/>
      <c r="L33" s="196"/>
      <c r="M33" s="196"/>
      <c r="N33" s="298"/>
      <c r="O33" s="298"/>
      <c r="P33" s="298"/>
      <c r="Q33" s="311"/>
      <c r="R33" s="311"/>
      <c r="S33" s="311"/>
      <c r="T33" s="311"/>
      <c r="U33" s="311"/>
    </row>
    <row r="34" spans="1:21">
      <c r="A34" s="11">
        <v>29</v>
      </c>
      <c r="B34" s="38" t="s">
        <v>27</v>
      </c>
      <c r="C34" s="198">
        <v>32558</v>
      </c>
      <c r="D34" s="198">
        <v>33067</v>
      </c>
      <c r="E34" s="198">
        <v>23629</v>
      </c>
      <c r="F34" s="198">
        <v>15560</v>
      </c>
      <c r="G34" s="198">
        <v>11905</v>
      </c>
      <c r="H34" s="198">
        <v>8252</v>
      </c>
      <c r="I34" s="198">
        <v>39190</v>
      </c>
      <c r="J34" s="201">
        <v>77998</v>
      </c>
      <c r="K34" s="201">
        <v>103897</v>
      </c>
      <c r="L34" s="198">
        <v>116770</v>
      </c>
      <c r="M34" s="198">
        <v>130960</v>
      </c>
      <c r="N34" s="313">
        <v>141853</v>
      </c>
      <c r="O34" s="313">
        <v>187420</v>
      </c>
      <c r="P34" s="313">
        <v>202991.27</v>
      </c>
      <c r="Q34" s="309">
        <v>220985.1</v>
      </c>
      <c r="R34" s="309">
        <v>244612.8</v>
      </c>
      <c r="S34" s="309">
        <v>252067.1</v>
      </c>
      <c r="T34" s="309">
        <v>253355.3</v>
      </c>
      <c r="U34" s="309">
        <v>261596.595</v>
      </c>
    </row>
    <row r="35" spans="1:21">
      <c r="A35" s="41"/>
      <c r="B35" s="42"/>
      <c r="C35" s="56"/>
      <c r="D35" s="57"/>
      <c r="E35" s="56"/>
      <c r="F35" s="56"/>
      <c r="G35" s="56"/>
      <c r="H35" s="56"/>
      <c r="I35" s="165"/>
      <c r="J35" s="165"/>
      <c r="K35" s="165"/>
      <c r="L35" s="167"/>
      <c r="M35" s="167"/>
      <c r="N35" s="167"/>
      <c r="O35" s="167"/>
      <c r="P35" s="167"/>
      <c r="Q35" s="311"/>
      <c r="R35" s="311"/>
      <c r="S35" s="311"/>
      <c r="T35" s="311"/>
      <c r="U35" s="311"/>
    </row>
    <row r="36" spans="1:21">
      <c r="A36" s="170"/>
      <c r="B36" s="60"/>
      <c r="C36" s="171"/>
      <c r="D36" s="172"/>
      <c r="E36" s="171"/>
      <c r="F36" s="173"/>
      <c r="G36" s="174"/>
      <c r="H36" s="174"/>
      <c r="I36" s="175"/>
      <c r="J36" s="5"/>
      <c r="K36" s="5"/>
      <c r="L36" s="225"/>
      <c r="M36" s="225"/>
      <c r="N36" s="225"/>
      <c r="O36" s="225"/>
      <c r="P36" s="225"/>
      <c r="Q36" s="341"/>
      <c r="R36" s="341"/>
      <c r="S36" s="341"/>
      <c r="T36" s="341"/>
      <c r="U36" s="341"/>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enableFormatConditionsCalculation="0">
    <tabColor rgb="FF00B050"/>
  </sheetPr>
  <dimension ref="A1:U39"/>
  <sheetViews>
    <sheetView view="pageLayout" zoomScaleNormal="100" workbookViewId="0">
      <selection activeCell="T81" sqref="T81"/>
    </sheetView>
  </sheetViews>
  <sheetFormatPr baseColWidth="10" defaultColWidth="11.42578125" defaultRowHeight="12.75"/>
  <cols>
    <col min="1" max="1" width="8.42578125" style="147" customWidth="1"/>
    <col min="2" max="2" width="58.7109375" style="147" customWidth="1"/>
    <col min="3" max="8" width="10.7109375" style="92" bestFit="1" customWidth="1"/>
    <col min="9" max="9" width="12.28515625" style="92" bestFit="1" customWidth="1"/>
    <col min="10" max="17" width="11.42578125" style="92"/>
    <col min="18" max="18" width="11.28515625" style="78" customWidth="1"/>
    <col min="19" max="21" width="15.42578125" style="78" bestFit="1" customWidth="1"/>
    <col min="22" max="16384" width="11.42578125" style="92"/>
  </cols>
  <sheetData>
    <row r="1" spans="1:21">
      <c r="A1" s="188" t="s">
        <v>0</v>
      </c>
      <c r="B1" s="189" t="s">
        <v>1</v>
      </c>
      <c r="C1" s="190">
        <v>2000</v>
      </c>
      <c r="D1" s="191">
        <v>2001</v>
      </c>
      <c r="E1" s="190">
        <v>2002</v>
      </c>
      <c r="F1" s="1">
        <v>2003</v>
      </c>
      <c r="G1" s="190">
        <v>2004</v>
      </c>
      <c r="H1" s="192">
        <v>2005</v>
      </c>
      <c r="I1" s="192">
        <v>2006</v>
      </c>
      <c r="J1" s="194">
        <v>2007</v>
      </c>
      <c r="K1" s="194">
        <v>2008</v>
      </c>
      <c r="L1" s="194">
        <v>2009</v>
      </c>
      <c r="M1" s="194">
        <v>2010</v>
      </c>
      <c r="N1" s="194">
        <v>2011</v>
      </c>
      <c r="O1" s="194">
        <v>2012</v>
      </c>
      <c r="P1" s="194">
        <v>2013</v>
      </c>
      <c r="Q1" s="344">
        <v>2014</v>
      </c>
      <c r="R1" s="344">
        <v>2015</v>
      </c>
      <c r="S1" s="344">
        <v>2016</v>
      </c>
      <c r="T1" s="344">
        <v>2017</v>
      </c>
      <c r="U1" s="344">
        <v>2018</v>
      </c>
    </row>
    <row r="2" spans="1:21">
      <c r="A2" s="98" t="s">
        <v>52</v>
      </c>
      <c r="B2" s="99" t="s">
        <v>84</v>
      </c>
      <c r="C2" s="100"/>
      <c r="D2" s="101"/>
      <c r="E2" s="100"/>
      <c r="F2" s="4"/>
      <c r="G2" s="102"/>
      <c r="H2" s="6"/>
      <c r="I2" s="6"/>
      <c r="J2" s="6"/>
      <c r="K2" s="6"/>
      <c r="L2" s="6"/>
      <c r="M2" s="6"/>
      <c r="N2" s="6"/>
      <c r="O2" s="6"/>
      <c r="P2" s="6"/>
      <c r="Q2" s="350" t="s">
        <v>103</v>
      </c>
      <c r="R2" s="350" t="s">
        <v>103</v>
      </c>
      <c r="S2" s="350" t="s">
        <v>103</v>
      </c>
      <c r="T2" s="350" t="s">
        <v>103</v>
      </c>
      <c r="U2" s="350" t="s">
        <v>103</v>
      </c>
    </row>
    <row r="3" spans="1:21">
      <c r="A3" s="193"/>
      <c r="B3" s="9"/>
      <c r="C3" s="9" t="s">
        <v>106</v>
      </c>
      <c r="D3" s="9" t="s">
        <v>106</v>
      </c>
      <c r="E3" s="9" t="s">
        <v>106</v>
      </c>
      <c r="F3" s="9" t="s">
        <v>106</v>
      </c>
      <c r="G3" s="9" t="s">
        <v>106</v>
      </c>
      <c r="H3" s="9" t="s">
        <v>106</v>
      </c>
      <c r="I3" s="9" t="s">
        <v>106</v>
      </c>
      <c r="J3" s="9" t="s">
        <v>106</v>
      </c>
      <c r="K3" s="9" t="s">
        <v>106</v>
      </c>
      <c r="L3" s="9" t="s">
        <v>106</v>
      </c>
      <c r="M3" s="9" t="s">
        <v>106</v>
      </c>
      <c r="N3" s="9" t="s">
        <v>106</v>
      </c>
      <c r="O3" s="9" t="s">
        <v>106</v>
      </c>
      <c r="P3" s="9" t="s">
        <v>106</v>
      </c>
      <c r="Q3" s="343" t="s">
        <v>106</v>
      </c>
      <c r="R3" s="343" t="s">
        <v>106</v>
      </c>
      <c r="S3" s="343" t="s">
        <v>4</v>
      </c>
      <c r="T3" s="343" t="s">
        <v>4</v>
      </c>
      <c r="U3" s="343" t="s">
        <v>4</v>
      </c>
    </row>
    <row r="4" spans="1:21">
      <c r="A4" s="103">
        <v>1</v>
      </c>
      <c r="B4" s="104" t="s">
        <v>32</v>
      </c>
      <c r="C4" s="248">
        <v>8295353</v>
      </c>
      <c r="D4" s="249">
        <v>8527594</v>
      </c>
      <c r="E4" s="249">
        <v>9126842</v>
      </c>
      <c r="F4" s="198">
        <v>11456524.933679998</v>
      </c>
      <c r="G4" s="198">
        <v>11955187.67374</v>
      </c>
      <c r="H4" s="198">
        <v>9728830.154000001</v>
      </c>
      <c r="I4" s="198">
        <v>9069528.8059299998</v>
      </c>
      <c r="J4" s="198">
        <f t="shared" ref="J4:O4" si="0">J6+J11+J16+J18</f>
        <v>8777144.2110799998</v>
      </c>
      <c r="K4" s="198">
        <f t="shared" si="0"/>
        <v>7436279</v>
      </c>
      <c r="L4" s="198">
        <f t="shared" si="0"/>
        <v>7852560</v>
      </c>
      <c r="M4" s="198">
        <f t="shared" si="0"/>
        <v>6987926</v>
      </c>
      <c r="N4" s="198">
        <f t="shared" si="0"/>
        <v>3948705.0468899999</v>
      </c>
      <c r="O4" s="198">
        <f t="shared" si="0"/>
        <v>7840526.9800000004</v>
      </c>
      <c r="P4" s="198">
        <f t="shared" ref="P4:Q4" si="1">P6+P11+P16+P18</f>
        <v>7405476.0582400002</v>
      </c>
      <c r="Q4" s="13">
        <f t="shared" si="1"/>
        <v>8183287.5300299991</v>
      </c>
      <c r="R4" s="13">
        <f t="shared" ref="R4" si="2">R6+R11+R16+R18</f>
        <v>7725423.6304099988</v>
      </c>
      <c r="S4" s="348">
        <f t="shared" ref="S4:T4" si="3">S6+S11+S16+S18</f>
        <v>7731624.0002199998</v>
      </c>
      <c r="T4" s="348">
        <f t="shared" si="3"/>
        <v>8258734.2217099993</v>
      </c>
      <c r="U4" s="348">
        <f t="shared" ref="U4" si="4">U6+U11+U16+U18</f>
        <v>8845904.3000000007</v>
      </c>
    </row>
    <row r="5" spans="1:21">
      <c r="A5" s="106"/>
      <c r="B5" s="107"/>
      <c r="C5" s="250"/>
      <c r="D5" s="251"/>
      <c r="E5" s="250"/>
      <c r="F5" s="229"/>
      <c r="G5" s="207"/>
      <c r="H5" s="196"/>
      <c r="I5" s="196"/>
      <c r="J5" s="196"/>
      <c r="K5" s="196"/>
      <c r="L5" s="196"/>
      <c r="M5" s="196"/>
      <c r="N5" s="196"/>
      <c r="O5" s="196"/>
      <c r="P5" s="196"/>
      <c r="Q5" s="18"/>
      <c r="R5" s="18"/>
      <c r="S5" s="298"/>
      <c r="T5" s="298"/>
      <c r="U5" s="298"/>
    </row>
    <row r="6" spans="1:21">
      <c r="A6" s="111">
        <v>10</v>
      </c>
      <c r="B6" s="104" t="s">
        <v>33</v>
      </c>
      <c r="C6" s="249">
        <v>2187120</v>
      </c>
      <c r="D6" s="252">
        <v>2333491</v>
      </c>
      <c r="E6" s="249">
        <v>2335781</v>
      </c>
      <c r="F6" s="198">
        <v>4241478.6461899998</v>
      </c>
      <c r="G6" s="198">
        <v>4656032.2823900003</v>
      </c>
      <c r="H6" s="198">
        <v>3794600.054</v>
      </c>
      <c r="I6" s="198">
        <v>3551413.0212699999</v>
      </c>
      <c r="J6" s="198">
        <f t="shared" ref="J6:O6" si="5">J7+J8+J9</f>
        <v>4233911.8250599997</v>
      </c>
      <c r="K6" s="198">
        <f t="shared" si="5"/>
        <v>4018550</v>
      </c>
      <c r="L6" s="198">
        <f t="shared" si="5"/>
        <v>5120119</v>
      </c>
      <c r="M6" s="198">
        <f t="shared" si="5"/>
        <v>5085476</v>
      </c>
      <c r="N6" s="198">
        <f t="shared" si="5"/>
        <v>1897256.5798899999</v>
      </c>
      <c r="O6" s="198">
        <f t="shared" si="5"/>
        <v>5655368.7000000002</v>
      </c>
      <c r="P6" s="198">
        <f t="shared" ref="P6" si="6">P7+P8+P9</f>
        <v>5072049.3121400001</v>
      </c>
      <c r="Q6" s="13">
        <f>Q7+Q8+Q9</f>
        <v>5714263.5274799997</v>
      </c>
      <c r="R6" s="13">
        <f>R7+R8+R9</f>
        <v>5411117.8164599994</v>
      </c>
      <c r="S6" s="348">
        <f>S7+S8+S9</f>
        <v>5999592.4533299999</v>
      </c>
      <c r="T6" s="348">
        <f>T7+T8+T9</f>
        <v>6538842.8140999991</v>
      </c>
      <c r="U6" s="348">
        <f>U7+U8+U9</f>
        <v>7270372.7999999998</v>
      </c>
    </row>
    <row r="7" spans="1:21">
      <c r="A7" s="113" t="s">
        <v>7</v>
      </c>
      <c r="B7" s="114" t="s">
        <v>34</v>
      </c>
      <c r="C7" s="253">
        <v>1428406</v>
      </c>
      <c r="D7" s="254">
        <v>1714085</v>
      </c>
      <c r="E7" s="253">
        <v>1640141</v>
      </c>
      <c r="F7" s="236">
        <v>1912492.86821</v>
      </c>
      <c r="G7" s="203">
        <v>2632925.0141800004</v>
      </c>
      <c r="H7" s="203">
        <v>1876434.0330000001</v>
      </c>
      <c r="I7" s="203">
        <v>1943198.4067299999</v>
      </c>
      <c r="J7" s="203">
        <v>3463103.0314000002</v>
      </c>
      <c r="K7" s="203">
        <v>3311505</v>
      </c>
      <c r="L7" s="196">
        <v>4478240</v>
      </c>
      <c r="M7" s="196">
        <v>4425147</v>
      </c>
      <c r="N7" s="298">
        <v>1252114.66289</v>
      </c>
      <c r="O7" s="298">
        <f>2695727.2+2302636.1</f>
        <v>4998363.3000000007</v>
      </c>
      <c r="P7" s="322">
        <f>2076305.45322+2362559.56462</f>
        <v>4438865.0178399999</v>
      </c>
      <c r="Q7" s="302">
        <v>4514723.7882399997</v>
      </c>
      <c r="R7" s="302">
        <v>4502321.90221</v>
      </c>
      <c r="S7" s="298">
        <v>5167191.3989399998</v>
      </c>
      <c r="T7" s="298">
        <v>5686742.0531799998</v>
      </c>
      <c r="U7" s="298">
        <v>6362373.0999999996</v>
      </c>
    </row>
    <row r="8" spans="1:21">
      <c r="A8" s="116">
        <v>102</v>
      </c>
      <c r="B8" s="117" t="s">
        <v>35</v>
      </c>
      <c r="C8" s="255">
        <v>183402</v>
      </c>
      <c r="D8" s="256">
        <v>167387</v>
      </c>
      <c r="E8" s="255">
        <v>278799</v>
      </c>
      <c r="F8" s="247">
        <v>1624242.00465</v>
      </c>
      <c r="G8" s="204">
        <v>1691340.8228800001</v>
      </c>
      <c r="H8" s="204">
        <v>1495158.3729999999</v>
      </c>
      <c r="I8" s="204">
        <v>1111378.94047</v>
      </c>
      <c r="J8" s="204">
        <v>427289.79386999994</v>
      </c>
      <c r="K8" s="204">
        <v>354143</v>
      </c>
      <c r="L8" s="199">
        <v>351860</v>
      </c>
      <c r="M8" s="199">
        <v>312426</v>
      </c>
      <c r="N8" s="300">
        <v>270310.08600000001</v>
      </c>
      <c r="O8" s="300">
        <v>236790.8</v>
      </c>
      <c r="P8" s="323">
        <v>238582.65979000001</v>
      </c>
      <c r="Q8" s="302">
        <v>771738.08655000001</v>
      </c>
      <c r="R8" s="302">
        <v>265384.61678000004</v>
      </c>
      <c r="S8" s="300">
        <v>254846.73005999997</v>
      </c>
      <c r="T8" s="300">
        <v>252818.14916</v>
      </c>
      <c r="U8" s="300">
        <v>251923.3</v>
      </c>
    </row>
    <row r="9" spans="1:21">
      <c r="A9" s="116">
        <v>103</v>
      </c>
      <c r="B9" s="117" t="s">
        <v>36</v>
      </c>
      <c r="C9" s="255">
        <v>575312</v>
      </c>
      <c r="D9" s="256">
        <v>452019</v>
      </c>
      <c r="E9" s="255">
        <v>416841</v>
      </c>
      <c r="F9" s="247">
        <v>704743.77333000011</v>
      </c>
      <c r="G9" s="204">
        <v>331766.44533000002</v>
      </c>
      <c r="H9" s="204">
        <v>423007.64799999999</v>
      </c>
      <c r="I9" s="204">
        <v>496835.67407000001</v>
      </c>
      <c r="J9" s="204">
        <v>343518.99979000003</v>
      </c>
      <c r="K9" s="204">
        <v>352902</v>
      </c>
      <c r="L9" s="196">
        <v>290019</v>
      </c>
      <c r="M9" s="196">
        <v>347903</v>
      </c>
      <c r="N9" s="298">
        <v>374831.83100000001</v>
      </c>
      <c r="O9" s="298">
        <v>420214.6</v>
      </c>
      <c r="P9" s="322">
        <v>394601.63451</v>
      </c>
      <c r="Q9" s="302">
        <v>427801.65269000002</v>
      </c>
      <c r="R9" s="302">
        <v>643411.29746999999</v>
      </c>
      <c r="S9" s="298">
        <v>577554.32432999997</v>
      </c>
      <c r="T9" s="298">
        <v>599282.61176</v>
      </c>
      <c r="U9" s="298">
        <v>656076.4</v>
      </c>
    </row>
    <row r="10" spans="1:21">
      <c r="A10" s="119"/>
      <c r="B10" s="120"/>
      <c r="C10" s="257"/>
      <c r="D10" s="258"/>
      <c r="E10" s="257"/>
      <c r="F10" s="232"/>
      <c r="G10" s="205"/>
      <c r="H10" s="205"/>
      <c r="I10" s="205"/>
      <c r="J10" s="205"/>
      <c r="K10" s="205"/>
      <c r="L10" s="196"/>
      <c r="M10" s="196"/>
      <c r="N10" s="196"/>
      <c r="O10" s="196"/>
      <c r="P10" s="196"/>
      <c r="Q10" s="18"/>
      <c r="R10" s="18"/>
      <c r="S10" s="298"/>
      <c r="T10" s="298"/>
      <c r="U10" s="298"/>
    </row>
    <row r="11" spans="1:21">
      <c r="A11" s="111">
        <v>11</v>
      </c>
      <c r="B11" s="104" t="s">
        <v>37</v>
      </c>
      <c r="C11" s="249">
        <v>2901153</v>
      </c>
      <c r="D11" s="252">
        <v>2851076</v>
      </c>
      <c r="E11" s="249">
        <v>2547159</v>
      </c>
      <c r="F11" s="198">
        <v>3018552.1245200001</v>
      </c>
      <c r="G11" s="198">
        <v>3286257.0297900001</v>
      </c>
      <c r="H11" s="208">
        <v>3059126.6360000004</v>
      </c>
      <c r="I11" s="208">
        <v>3088581.97046</v>
      </c>
      <c r="J11" s="208">
        <f t="shared" ref="J11:O11" si="7">J12+J13+J14</f>
        <v>3016381.9549399996</v>
      </c>
      <c r="K11" s="208">
        <f t="shared" si="7"/>
        <v>2846563</v>
      </c>
      <c r="L11" s="198">
        <f t="shared" si="7"/>
        <v>2732441</v>
      </c>
      <c r="M11" s="198">
        <f t="shared" si="7"/>
        <v>1902450</v>
      </c>
      <c r="N11" s="198">
        <f t="shared" si="7"/>
        <v>2051448.4669999999</v>
      </c>
      <c r="O11" s="198">
        <f t="shared" si="7"/>
        <v>2185158.2800000003</v>
      </c>
      <c r="P11" s="198">
        <f t="shared" ref="P11:Q11" si="8">P12+P13+P14</f>
        <v>2333426.7461000001</v>
      </c>
      <c r="Q11" s="13">
        <f t="shared" si="8"/>
        <v>2469024.0025499999</v>
      </c>
      <c r="R11" s="13">
        <f t="shared" ref="R11" si="9">R12+R13+R14</f>
        <v>2314305.8139499999</v>
      </c>
      <c r="S11" s="348">
        <f t="shared" ref="S11:T11" si="10">S12+S13+S14</f>
        <v>1732031.5468900001</v>
      </c>
      <c r="T11" s="348">
        <f t="shared" si="10"/>
        <v>1719891.4076099999</v>
      </c>
      <c r="U11" s="348">
        <f t="shared" ref="U11" si="11">U12+U13+U14</f>
        <v>1575531.5000000002</v>
      </c>
    </row>
    <row r="12" spans="1:21">
      <c r="A12" s="121">
        <v>114</v>
      </c>
      <c r="B12" s="122" t="s">
        <v>38</v>
      </c>
      <c r="C12" s="253">
        <v>1185307</v>
      </c>
      <c r="D12" s="254">
        <v>1199118</v>
      </c>
      <c r="E12" s="253">
        <v>1233613</v>
      </c>
      <c r="F12" s="247">
        <v>1178593.8237999999</v>
      </c>
      <c r="G12" s="203">
        <v>1163272.21973</v>
      </c>
      <c r="H12" s="203">
        <v>1016022.72</v>
      </c>
      <c r="I12" s="203">
        <v>909632.96091999998</v>
      </c>
      <c r="J12" s="203">
        <v>836049.47698999988</v>
      </c>
      <c r="K12" s="203">
        <v>815613</v>
      </c>
      <c r="L12" s="196">
        <v>795613</v>
      </c>
      <c r="M12" s="196">
        <v>929039</v>
      </c>
      <c r="N12" s="298">
        <v>1048820.933</v>
      </c>
      <c r="O12" s="298">
        <v>1148934.3</v>
      </c>
      <c r="P12" s="322">
        <v>1239749.5742299999</v>
      </c>
      <c r="Q12" s="302">
        <v>1335425.5008700001</v>
      </c>
      <c r="R12" s="302">
        <v>1490193.03507</v>
      </c>
      <c r="S12" s="298">
        <v>1243528.8430900001</v>
      </c>
      <c r="T12" s="298">
        <v>1229639.02514</v>
      </c>
      <c r="U12" s="298">
        <v>1101459.1000000001</v>
      </c>
    </row>
    <row r="13" spans="1:21">
      <c r="A13" s="116">
        <v>115</v>
      </c>
      <c r="B13" s="117" t="s">
        <v>39</v>
      </c>
      <c r="C13" s="255">
        <v>992702</v>
      </c>
      <c r="D13" s="256">
        <v>934468</v>
      </c>
      <c r="E13" s="255">
        <v>625308</v>
      </c>
      <c r="F13" s="247">
        <v>1226382.0469199999</v>
      </c>
      <c r="G13" s="259">
        <v>1517661.84607</v>
      </c>
      <c r="H13" s="259">
        <v>1477928.0090000001</v>
      </c>
      <c r="I13" s="259">
        <v>1629617.7091000001</v>
      </c>
      <c r="J13" s="259">
        <v>1661059.2580699997</v>
      </c>
      <c r="K13" s="259">
        <v>1553719</v>
      </c>
      <c r="L13" s="199">
        <v>1531339</v>
      </c>
      <c r="M13" s="199">
        <v>838385</v>
      </c>
      <c r="N13" s="300">
        <v>869283.32200000004</v>
      </c>
      <c r="O13" s="300">
        <v>885829.98</v>
      </c>
      <c r="P13" s="323">
        <v>927314.59345000004</v>
      </c>
      <c r="Q13" s="302">
        <v>731485.83766999992</v>
      </c>
      <c r="R13" s="302">
        <v>709746.72812999994</v>
      </c>
      <c r="S13" s="300">
        <v>370447.12089999998</v>
      </c>
      <c r="T13" s="300">
        <v>371276.69191999995</v>
      </c>
      <c r="U13" s="300">
        <v>357958.8</v>
      </c>
    </row>
    <row r="14" spans="1:21" ht="25.5">
      <c r="A14" s="123" t="s">
        <v>14</v>
      </c>
      <c r="B14" s="124" t="s">
        <v>53</v>
      </c>
      <c r="C14" s="255">
        <v>723144</v>
      </c>
      <c r="D14" s="256">
        <v>717490</v>
      </c>
      <c r="E14" s="255">
        <v>688238</v>
      </c>
      <c r="F14" s="247">
        <v>613576.25379999995</v>
      </c>
      <c r="G14" s="204">
        <v>605322.96398999996</v>
      </c>
      <c r="H14" s="204">
        <v>565175.90700000001</v>
      </c>
      <c r="I14" s="204">
        <v>549331.30044000002</v>
      </c>
      <c r="J14" s="204">
        <v>519273.21987999999</v>
      </c>
      <c r="K14" s="204">
        <v>477231</v>
      </c>
      <c r="L14" s="196">
        <v>405489</v>
      </c>
      <c r="M14" s="196">
        <v>135026</v>
      </c>
      <c r="N14" s="298">
        <v>133344.212</v>
      </c>
      <c r="O14" s="298">
        <v>150394</v>
      </c>
      <c r="P14" s="322">
        <v>166362.57842000001</v>
      </c>
      <c r="Q14" s="302">
        <v>402112.66401000001</v>
      </c>
      <c r="R14" s="302">
        <v>114366.05074999999</v>
      </c>
      <c r="S14" s="298">
        <v>118055.58289999999</v>
      </c>
      <c r="T14" s="298">
        <v>118975.69055</v>
      </c>
      <c r="U14" s="298">
        <v>116113.60000000001</v>
      </c>
    </row>
    <row r="15" spans="1:21">
      <c r="A15" s="125"/>
      <c r="B15" s="126"/>
      <c r="C15" s="257"/>
      <c r="D15" s="258"/>
      <c r="E15" s="257"/>
      <c r="F15" s="232"/>
      <c r="G15" s="205"/>
      <c r="H15" s="200"/>
      <c r="I15" s="200"/>
      <c r="J15" s="200"/>
      <c r="K15" s="200"/>
      <c r="L15" s="200"/>
      <c r="M15" s="200"/>
      <c r="N15" s="305"/>
      <c r="O15" s="305"/>
      <c r="P15" s="305"/>
      <c r="Q15" s="308"/>
      <c r="R15" s="308"/>
      <c r="S15" s="305"/>
      <c r="T15" s="305"/>
      <c r="U15" s="305"/>
    </row>
    <row r="16" spans="1:21">
      <c r="A16" s="103">
        <v>12</v>
      </c>
      <c r="B16" s="127" t="s">
        <v>41</v>
      </c>
      <c r="C16" s="249">
        <v>0</v>
      </c>
      <c r="D16" s="252">
        <v>0</v>
      </c>
      <c r="E16" s="249">
        <v>0</v>
      </c>
      <c r="F16" s="198">
        <v>0</v>
      </c>
      <c r="G16" s="208">
        <v>0</v>
      </c>
      <c r="H16" s="208">
        <v>0</v>
      </c>
      <c r="I16" s="208">
        <v>0</v>
      </c>
      <c r="J16" s="206"/>
      <c r="K16" s="206">
        <v>0</v>
      </c>
      <c r="L16" s="198">
        <v>0</v>
      </c>
      <c r="M16" s="198">
        <v>0</v>
      </c>
      <c r="N16" s="313">
        <v>0</v>
      </c>
      <c r="O16" s="313">
        <v>0</v>
      </c>
      <c r="P16" s="313">
        <v>0</v>
      </c>
      <c r="Q16" s="309">
        <v>0</v>
      </c>
      <c r="R16" s="309">
        <v>0</v>
      </c>
      <c r="S16" s="388">
        <v>0</v>
      </c>
      <c r="T16" s="388">
        <v>0</v>
      </c>
      <c r="U16" s="388">
        <v>0</v>
      </c>
    </row>
    <row r="17" spans="1:21">
      <c r="A17" s="129"/>
      <c r="B17" s="130"/>
      <c r="C17" s="250"/>
      <c r="D17" s="251"/>
      <c r="E17" s="250"/>
      <c r="F17" s="229"/>
      <c r="G17" s="207"/>
      <c r="H17" s="260"/>
      <c r="I17" s="260"/>
      <c r="J17" s="260"/>
      <c r="K17" s="260"/>
      <c r="L17" s="196"/>
      <c r="M17" s="196"/>
      <c r="N17" s="298"/>
      <c r="O17" s="298"/>
      <c r="P17" s="322"/>
      <c r="Q17" s="311"/>
      <c r="R17" s="311"/>
      <c r="S17" s="298"/>
      <c r="T17" s="298"/>
      <c r="U17" s="298"/>
    </row>
    <row r="18" spans="1:21">
      <c r="A18" s="103">
        <v>13</v>
      </c>
      <c r="B18" s="127" t="s">
        <v>42</v>
      </c>
      <c r="C18" s="249">
        <v>3207080</v>
      </c>
      <c r="D18" s="252">
        <v>3343027</v>
      </c>
      <c r="E18" s="249">
        <v>4243902</v>
      </c>
      <c r="F18" s="198">
        <v>4196494.162969999</v>
      </c>
      <c r="G18" s="208">
        <v>4012898.3615600001</v>
      </c>
      <c r="H18" s="208">
        <v>2875103.4640000002</v>
      </c>
      <c r="I18" s="208">
        <v>2429533.8141999999</v>
      </c>
      <c r="J18" s="208">
        <v>1526850.4310800005</v>
      </c>
      <c r="K18" s="208">
        <v>571166</v>
      </c>
      <c r="L18" s="198">
        <v>0</v>
      </c>
      <c r="M18" s="198">
        <v>0</v>
      </c>
      <c r="N18" s="313">
        <v>0</v>
      </c>
      <c r="O18" s="313">
        <v>0</v>
      </c>
      <c r="P18" s="313">
        <v>0</v>
      </c>
      <c r="Q18" s="309">
        <v>0</v>
      </c>
      <c r="R18" s="309">
        <v>0</v>
      </c>
      <c r="S18" s="388">
        <v>0</v>
      </c>
      <c r="T18" s="388">
        <v>0</v>
      </c>
      <c r="U18" s="388">
        <v>0</v>
      </c>
    </row>
    <row r="19" spans="1:21">
      <c r="A19" s="131"/>
      <c r="B19" s="132"/>
      <c r="C19" s="253"/>
      <c r="D19" s="254"/>
      <c r="E19" s="253"/>
      <c r="F19" s="236"/>
      <c r="G19" s="203"/>
      <c r="H19" s="196"/>
      <c r="I19" s="196"/>
      <c r="J19" s="196"/>
      <c r="K19" s="196"/>
      <c r="L19" s="196"/>
      <c r="M19" s="196"/>
      <c r="N19" s="298"/>
      <c r="O19" s="298"/>
      <c r="P19" s="322"/>
      <c r="Q19" s="311"/>
      <c r="R19" s="311"/>
      <c r="S19" s="298"/>
      <c r="T19" s="298"/>
      <c r="U19" s="298"/>
    </row>
    <row r="20" spans="1:21">
      <c r="A20" s="134"/>
      <c r="B20" s="126"/>
      <c r="C20" s="257"/>
      <c r="D20" s="258"/>
      <c r="E20" s="257"/>
      <c r="F20" s="232"/>
      <c r="G20" s="205"/>
      <c r="H20" s="200"/>
      <c r="I20" s="200"/>
      <c r="J20" s="200"/>
      <c r="K20" s="200"/>
      <c r="L20" s="200"/>
      <c r="M20" s="200"/>
      <c r="N20" s="305"/>
      <c r="O20" s="305"/>
      <c r="P20" s="325"/>
      <c r="Q20" s="308"/>
      <c r="R20" s="308"/>
      <c r="S20" s="305"/>
      <c r="T20" s="305"/>
      <c r="U20" s="305"/>
    </row>
    <row r="21" spans="1:21">
      <c r="A21" s="103">
        <v>2</v>
      </c>
      <c r="B21" s="127" t="s">
        <v>43</v>
      </c>
      <c r="C21" s="249">
        <v>8295353</v>
      </c>
      <c r="D21" s="252">
        <v>8527594</v>
      </c>
      <c r="E21" s="249">
        <v>9126842</v>
      </c>
      <c r="F21" s="198">
        <v>11456524.93368</v>
      </c>
      <c r="G21" s="198">
        <v>11955187.673740001</v>
      </c>
      <c r="H21" s="198">
        <v>9728830.1510000005</v>
      </c>
      <c r="I21" s="198">
        <v>9069528.8059299998</v>
      </c>
      <c r="J21" s="198">
        <f t="shared" ref="J21:O21" si="12">J23+J28+J30+J32+J34</f>
        <v>8777144.2110799998</v>
      </c>
      <c r="K21" s="198">
        <f t="shared" si="12"/>
        <v>7436279</v>
      </c>
      <c r="L21" s="198">
        <f t="shared" si="12"/>
        <v>7852560</v>
      </c>
      <c r="M21" s="198">
        <f t="shared" si="12"/>
        <v>6987926</v>
      </c>
      <c r="N21" s="198">
        <f t="shared" si="12"/>
        <v>7183306.9929999998</v>
      </c>
      <c r="O21" s="198">
        <f t="shared" si="12"/>
        <v>7840526.9000000004</v>
      </c>
      <c r="P21" s="198">
        <f t="shared" ref="P21:Q21" si="13">P23+P28+P30+P32+P34</f>
        <v>7405476.0582400002</v>
      </c>
      <c r="Q21" s="13">
        <f t="shared" si="13"/>
        <v>8183287.53003</v>
      </c>
      <c r="R21" s="13">
        <f t="shared" ref="R21:S21" si="14">R23+R28+R30+R32+R34</f>
        <v>7725423.6304099988</v>
      </c>
      <c r="S21" s="348">
        <f t="shared" si="14"/>
        <v>7731624.0002100002</v>
      </c>
      <c r="T21" s="348">
        <f t="shared" ref="T21" si="15">T23+T28+T30+T32+T34</f>
        <v>8258734.2217099993</v>
      </c>
      <c r="U21" s="348">
        <f t="shared" ref="U21" si="16">U23+U28+U30+U32+U34</f>
        <v>8845904.2999999989</v>
      </c>
    </row>
    <row r="22" spans="1:21">
      <c r="A22" s="135"/>
      <c r="B22" s="136"/>
      <c r="C22" s="250"/>
      <c r="D22" s="251"/>
      <c r="E22" s="250"/>
      <c r="F22" s="229"/>
      <c r="G22" s="207"/>
      <c r="H22" s="196"/>
      <c r="I22" s="196"/>
      <c r="J22" s="196"/>
      <c r="K22" s="196"/>
      <c r="L22" s="196"/>
      <c r="M22" s="196"/>
      <c r="N22" s="196"/>
      <c r="O22" s="196"/>
      <c r="P22" s="324"/>
      <c r="Q22" s="18"/>
      <c r="R22" s="18"/>
      <c r="S22" s="298"/>
      <c r="T22" s="298"/>
      <c r="U22" s="298"/>
    </row>
    <row r="23" spans="1:21">
      <c r="A23" s="137">
        <v>20</v>
      </c>
      <c r="B23" s="138" t="s">
        <v>44</v>
      </c>
      <c r="C23" s="249">
        <v>8010981</v>
      </c>
      <c r="D23" s="249">
        <v>8282745</v>
      </c>
      <c r="E23" s="249">
        <v>8903779</v>
      </c>
      <c r="F23" s="198">
        <v>11115098.22335</v>
      </c>
      <c r="G23" s="198">
        <v>11582307.533090001</v>
      </c>
      <c r="H23" s="198">
        <v>9486675.1730000004</v>
      </c>
      <c r="I23" s="198">
        <v>8840392.7137499992</v>
      </c>
      <c r="J23" s="198">
        <f t="shared" ref="J23:O23" si="17">J24+J25+J26</f>
        <v>8519545.249189999</v>
      </c>
      <c r="K23" s="198">
        <f t="shared" si="17"/>
        <v>7183735</v>
      </c>
      <c r="L23" s="198">
        <f t="shared" si="17"/>
        <v>7202692</v>
      </c>
      <c r="M23" s="198">
        <f t="shared" si="17"/>
        <v>6680848</v>
      </c>
      <c r="N23" s="198">
        <f t="shared" si="17"/>
        <v>6347904.8629999999</v>
      </c>
      <c r="O23" s="198">
        <f t="shared" si="17"/>
        <v>6895484.2000000002</v>
      </c>
      <c r="P23" s="198">
        <f t="shared" ref="P23:Q23" si="18">P24+P25+P26</f>
        <v>6331569.8385600001</v>
      </c>
      <c r="Q23" s="13">
        <f t="shared" si="18"/>
        <v>6168205.1842600005</v>
      </c>
      <c r="R23" s="13">
        <f t="shared" ref="R23:S23" si="19">R24+R25+R26</f>
        <v>5379200.0336799994</v>
      </c>
      <c r="S23" s="348">
        <f t="shared" si="19"/>
        <v>5451030.9260200001</v>
      </c>
      <c r="T23" s="348">
        <f t="shared" ref="T23" si="20">T24+T25+T26</f>
        <v>5414354.5717099998</v>
      </c>
      <c r="U23" s="348">
        <f t="shared" ref="U23" si="21">U24+U25+U26</f>
        <v>5770570.0999999996</v>
      </c>
    </row>
    <row r="24" spans="1:21">
      <c r="A24" s="139" t="s">
        <v>20</v>
      </c>
      <c r="B24" s="132" t="s">
        <v>45</v>
      </c>
      <c r="C24" s="253">
        <v>3382737</v>
      </c>
      <c r="D24" s="254">
        <v>3151802</v>
      </c>
      <c r="E24" s="253">
        <v>3415876</v>
      </c>
      <c r="F24" s="236">
        <v>4203117.2711400008</v>
      </c>
      <c r="G24" s="203">
        <v>5005745.55155</v>
      </c>
      <c r="H24" s="203">
        <v>3076480.753</v>
      </c>
      <c r="I24" s="203">
        <v>2761447.6182800001</v>
      </c>
      <c r="J24" s="203">
        <v>3153238.1829599999</v>
      </c>
      <c r="K24" s="203">
        <v>3242526</v>
      </c>
      <c r="L24" s="196">
        <v>3545532</v>
      </c>
      <c r="M24" s="196">
        <v>3132189</v>
      </c>
      <c r="N24" s="298">
        <v>3114879.1540000001</v>
      </c>
      <c r="O24" s="298">
        <f>2562622.7+1160000</f>
        <v>3722622.7</v>
      </c>
      <c r="P24" s="322">
        <v>2314727.51779</v>
      </c>
      <c r="Q24" s="302">
        <v>2464021.32033</v>
      </c>
      <c r="R24" s="302">
        <v>2027135.49373</v>
      </c>
      <c r="S24" s="298">
        <v>1780308.1102400001</v>
      </c>
      <c r="T24" s="298">
        <v>1776280.25181</v>
      </c>
      <c r="U24" s="298">
        <v>2408083.6</v>
      </c>
    </row>
    <row r="25" spans="1:21">
      <c r="A25" s="140">
        <v>202</v>
      </c>
      <c r="B25" s="97" t="s">
        <v>46</v>
      </c>
      <c r="C25" s="255">
        <v>4136317</v>
      </c>
      <c r="D25" s="256">
        <v>4632786</v>
      </c>
      <c r="E25" s="255">
        <v>4976755</v>
      </c>
      <c r="F25" s="247">
        <v>6421560.8466499997</v>
      </c>
      <c r="G25" s="204">
        <v>6135000</v>
      </c>
      <c r="H25" s="204">
        <v>6000000</v>
      </c>
      <c r="I25" s="204">
        <v>5450000</v>
      </c>
      <c r="J25" s="204">
        <v>4760000</v>
      </c>
      <c r="K25" s="204">
        <v>3290000</v>
      </c>
      <c r="L25" s="199">
        <v>2560000</v>
      </c>
      <c r="M25" s="199">
        <v>2060000</v>
      </c>
      <c r="N25" s="300">
        <v>1710000</v>
      </c>
      <c r="O25" s="300">
        <v>825000</v>
      </c>
      <c r="P25" s="323">
        <v>1075000</v>
      </c>
      <c r="Q25" s="302">
        <v>2312394.4267899999</v>
      </c>
      <c r="R25" s="302">
        <v>2131838.3834699998</v>
      </c>
      <c r="S25" s="300">
        <v>1688549.0637999999</v>
      </c>
      <c r="T25" s="300">
        <v>1487548.9502000001</v>
      </c>
      <c r="U25" s="300">
        <v>978888.1</v>
      </c>
    </row>
    <row r="26" spans="1:21">
      <c r="A26" s="140">
        <v>205</v>
      </c>
      <c r="B26" s="97" t="s">
        <v>47</v>
      </c>
      <c r="C26" s="255">
        <v>491927</v>
      </c>
      <c r="D26" s="256">
        <v>498157</v>
      </c>
      <c r="E26" s="255">
        <v>511148</v>
      </c>
      <c r="F26" s="247">
        <v>490420.10556</v>
      </c>
      <c r="G26" s="204">
        <v>441561.98154000001</v>
      </c>
      <c r="H26" s="204">
        <v>410194.42</v>
      </c>
      <c r="I26" s="204">
        <v>628945.09546999994</v>
      </c>
      <c r="J26" s="204">
        <v>606307.06623</v>
      </c>
      <c r="K26" s="204">
        <v>651209</v>
      </c>
      <c r="L26" s="196">
        <v>1097160</v>
      </c>
      <c r="M26" s="196">
        <v>1488659</v>
      </c>
      <c r="N26" s="298">
        <v>1523025.709</v>
      </c>
      <c r="O26" s="298">
        <v>2347861.5</v>
      </c>
      <c r="P26" s="322">
        <v>2941842.3207700001</v>
      </c>
      <c r="Q26" s="302">
        <v>1391789.4371400001</v>
      </c>
      <c r="R26" s="302">
        <v>1220226.1564799999</v>
      </c>
      <c r="S26" s="298">
        <v>1982173.7519799999</v>
      </c>
      <c r="T26" s="298">
        <v>2150525.3697000002</v>
      </c>
      <c r="U26" s="298">
        <v>2383598.4</v>
      </c>
    </row>
    <row r="27" spans="1:21">
      <c r="A27" s="125"/>
      <c r="B27" s="126"/>
      <c r="C27" s="257"/>
      <c r="D27" s="258"/>
      <c r="E27" s="257"/>
      <c r="F27" s="232"/>
      <c r="G27" s="205"/>
      <c r="H27" s="200"/>
      <c r="I27" s="200"/>
      <c r="J27" s="200"/>
      <c r="K27" s="200"/>
      <c r="L27" s="200"/>
      <c r="M27" s="200"/>
      <c r="N27" s="305"/>
      <c r="O27" s="305"/>
      <c r="P27" s="325"/>
      <c r="Q27" s="308"/>
      <c r="R27" s="308"/>
      <c r="S27" s="305"/>
      <c r="T27" s="305"/>
      <c r="U27" s="305"/>
    </row>
    <row r="28" spans="1:21">
      <c r="A28" s="103">
        <v>23</v>
      </c>
      <c r="B28" s="127" t="s">
        <v>48</v>
      </c>
      <c r="C28" s="249"/>
      <c r="D28" s="252"/>
      <c r="E28" s="249"/>
      <c r="F28" s="198"/>
      <c r="G28" s="208"/>
      <c r="H28" s="198"/>
      <c r="I28" s="198"/>
      <c r="J28" s="198"/>
      <c r="K28" s="198"/>
      <c r="L28" s="198">
        <v>0</v>
      </c>
      <c r="M28" s="198">
        <v>0</v>
      </c>
      <c r="N28" s="313">
        <v>0</v>
      </c>
      <c r="O28" s="313">
        <v>0</v>
      </c>
      <c r="P28" s="313">
        <v>0</v>
      </c>
      <c r="Q28" s="309"/>
      <c r="R28" s="309"/>
      <c r="S28" s="388"/>
      <c r="T28" s="388"/>
      <c r="U28" s="388"/>
    </row>
    <row r="29" spans="1:21">
      <c r="A29" s="141"/>
      <c r="B29" s="130"/>
      <c r="C29" s="250"/>
      <c r="D29" s="251"/>
      <c r="E29" s="250"/>
      <c r="F29" s="229"/>
      <c r="G29" s="207"/>
      <c r="H29" s="196"/>
      <c r="I29" s="196"/>
      <c r="J29" s="196"/>
      <c r="K29" s="196"/>
      <c r="L29" s="196"/>
      <c r="M29" s="196"/>
      <c r="N29" s="298"/>
      <c r="O29" s="298"/>
      <c r="P29" s="322"/>
      <c r="Q29" s="311"/>
      <c r="R29" s="311"/>
      <c r="S29" s="298"/>
      <c r="T29" s="298"/>
      <c r="U29" s="298"/>
    </row>
    <row r="30" spans="1:21">
      <c r="A30" s="103">
        <v>24</v>
      </c>
      <c r="B30" s="127" t="s">
        <v>49</v>
      </c>
      <c r="C30" s="249">
        <v>71356</v>
      </c>
      <c r="D30" s="252">
        <v>43225</v>
      </c>
      <c r="E30" s="249">
        <v>33169</v>
      </c>
      <c r="F30" s="198">
        <v>156143.58137999999</v>
      </c>
      <c r="G30" s="198">
        <v>161026.17642999999</v>
      </c>
      <c r="H30" s="198">
        <v>15114.788</v>
      </c>
      <c r="I30" s="198">
        <v>0</v>
      </c>
      <c r="J30" s="198">
        <v>0</v>
      </c>
      <c r="K30" s="198">
        <v>0</v>
      </c>
      <c r="L30" s="198">
        <v>0</v>
      </c>
      <c r="M30" s="198">
        <v>0</v>
      </c>
      <c r="N30" s="313">
        <v>0</v>
      </c>
      <c r="O30" s="313">
        <v>0</v>
      </c>
      <c r="P30" s="313">
        <v>0</v>
      </c>
      <c r="Q30" s="309">
        <v>8912.3218100000013</v>
      </c>
      <c r="R30" s="309">
        <v>0</v>
      </c>
      <c r="S30" s="388">
        <v>0</v>
      </c>
      <c r="T30" s="388">
        <v>0</v>
      </c>
      <c r="U30" s="388">
        <v>0</v>
      </c>
    </row>
    <row r="31" spans="1:21">
      <c r="A31" s="135"/>
      <c r="B31" s="136"/>
      <c r="C31" s="250"/>
      <c r="D31" s="251"/>
      <c r="E31" s="250"/>
      <c r="F31" s="229"/>
      <c r="G31" s="207"/>
      <c r="H31" s="196"/>
      <c r="I31" s="196"/>
      <c r="J31" s="196"/>
      <c r="K31" s="196"/>
      <c r="L31" s="196"/>
      <c r="M31" s="196"/>
      <c r="N31" s="298"/>
      <c r="O31" s="298"/>
      <c r="P31" s="322"/>
      <c r="Q31" s="311"/>
      <c r="R31" s="311"/>
      <c r="S31" s="298"/>
      <c r="T31" s="298"/>
      <c r="U31" s="298"/>
    </row>
    <row r="32" spans="1:21">
      <c r="A32" s="142">
        <v>28</v>
      </c>
      <c r="B32" s="138" t="s">
        <v>54</v>
      </c>
      <c r="C32" s="249">
        <v>213016</v>
      </c>
      <c r="D32" s="252">
        <v>201624</v>
      </c>
      <c r="E32" s="249">
        <v>189894</v>
      </c>
      <c r="F32" s="198">
        <v>185283.12895000001</v>
      </c>
      <c r="G32" s="198">
        <v>211853.96421999999</v>
      </c>
      <c r="H32" s="198">
        <v>227040.19</v>
      </c>
      <c r="I32" s="198">
        <v>229136.09218000001</v>
      </c>
      <c r="J32" s="198">
        <v>257598.96189000004</v>
      </c>
      <c r="K32" s="198">
        <v>252544</v>
      </c>
      <c r="L32" s="198">
        <v>287509</v>
      </c>
      <c r="M32" s="198">
        <v>278499</v>
      </c>
      <c r="N32" s="313">
        <v>373638.93599999999</v>
      </c>
      <c r="O32" s="313">
        <v>405388.3</v>
      </c>
      <c r="P32" s="313">
        <v>413173.75722000003</v>
      </c>
      <c r="Q32" s="309">
        <v>141939.99012999999</v>
      </c>
      <c r="R32" s="309">
        <v>146638.51921</v>
      </c>
      <c r="S32" s="388">
        <v>14815.005520000001</v>
      </c>
      <c r="T32" s="388">
        <v>15679.020979999999</v>
      </c>
      <c r="U32" s="388">
        <v>20849.3</v>
      </c>
    </row>
    <row r="33" spans="1:21">
      <c r="A33" s="141"/>
      <c r="B33" s="130"/>
      <c r="C33" s="108"/>
      <c r="D33" s="109"/>
      <c r="E33" s="108"/>
      <c r="F33" s="16"/>
      <c r="G33" s="110"/>
      <c r="H33" s="18"/>
      <c r="I33" s="18"/>
      <c r="J33" s="18"/>
      <c r="K33" s="18"/>
      <c r="L33" s="196"/>
      <c r="M33" s="196"/>
      <c r="N33" s="298"/>
      <c r="O33" s="298"/>
      <c r="P33" s="322"/>
      <c r="Q33" s="311"/>
      <c r="R33" s="311"/>
      <c r="S33" s="298"/>
      <c r="T33" s="298"/>
      <c r="U33" s="298"/>
    </row>
    <row r="34" spans="1:21">
      <c r="A34" s="103">
        <v>29</v>
      </c>
      <c r="B34" s="127" t="s">
        <v>51</v>
      </c>
      <c r="C34" s="105"/>
      <c r="D34" s="112"/>
      <c r="E34" s="105"/>
      <c r="F34" s="13"/>
      <c r="G34" s="128"/>
      <c r="H34" s="13"/>
      <c r="I34" s="13"/>
      <c r="J34" s="13"/>
      <c r="K34" s="13"/>
      <c r="L34" s="198">
        <v>362359</v>
      </c>
      <c r="M34" s="198">
        <v>28579</v>
      </c>
      <c r="N34" s="313">
        <v>461763.19400000002</v>
      </c>
      <c r="O34" s="313">
        <v>539654.40000000002</v>
      </c>
      <c r="P34" s="313">
        <v>660732.46245999995</v>
      </c>
      <c r="Q34" s="309">
        <v>1864230.0338299999</v>
      </c>
      <c r="R34" s="309">
        <v>2199585.0775199998</v>
      </c>
      <c r="S34" s="388">
        <v>2265778.0686699999</v>
      </c>
      <c r="T34" s="388">
        <v>2828700.6290199999</v>
      </c>
      <c r="U34" s="388">
        <v>3054484.9</v>
      </c>
    </row>
    <row r="35" spans="1:21">
      <c r="A35" s="131"/>
      <c r="B35" s="132"/>
      <c r="C35" s="133"/>
      <c r="D35" s="143"/>
      <c r="E35" s="133"/>
      <c r="F35" s="56"/>
      <c r="G35" s="133"/>
      <c r="H35" s="18"/>
      <c r="I35" s="18"/>
      <c r="J35" s="18"/>
      <c r="K35" s="18"/>
      <c r="L35" s="167"/>
      <c r="M35" s="167"/>
      <c r="N35" s="167"/>
      <c r="O35" s="167"/>
      <c r="P35" s="167"/>
      <c r="Q35" s="311"/>
      <c r="R35" s="311"/>
      <c r="S35" s="360"/>
      <c r="T35" s="360"/>
      <c r="U35" s="360"/>
    </row>
    <row r="36" spans="1:21">
      <c r="A36" s="98"/>
      <c r="B36" s="144"/>
      <c r="C36" s="145"/>
      <c r="D36" s="146"/>
      <c r="E36" s="145"/>
      <c r="F36" s="61"/>
      <c r="G36" s="145"/>
      <c r="H36" s="37"/>
      <c r="I36" s="37"/>
      <c r="J36" s="37"/>
      <c r="K36" s="37"/>
      <c r="L36" s="225"/>
      <c r="M36" s="225"/>
      <c r="N36" s="225"/>
      <c r="O36" s="225"/>
      <c r="P36" s="225"/>
      <c r="Q36" s="341"/>
      <c r="R36" s="341"/>
      <c r="S36" s="362"/>
      <c r="T36" s="362"/>
      <c r="U36" s="362"/>
    </row>
    <row r="37" spans="1:21">
      <c r="A37" s="181"/>
      <c r="B37" s="181"/>
      <c r="C37" s="182"/>
      <c r="D37" s="182"/>
      <c r="E37" s="182"/>
      <c r="F37" s="182"/>
      <c r="G37" s="182"/>
      <c r="H37" s="182"/>
      <c r="I37" s="182"/>
      <c r="J37" s="182"/>
    </row>
    <row r="38" spans="1:21">
      <c r="A38" s="92"/>
      <c r="B38" s="92"/>
    </row>
    <row r="39" spans="1:21">
      <c r="A39" s="92"/>
      <c r="B39" s="92"/>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3.140625" style="75" customWidth="1"/>
    <col min="3" max="8" width="10.7109375" style="2" bestFit="1" customWidth="1"/>
    <col min="9" max="9" width="12.28515625" style="2" bestFit="1" customWidth="1"/>
    <col min="10" max="17" width="11.42578125" style="2"/>
    <col min="18" max="18" width="10.7109375" style="78" customWidth="1"/>
    <col min="19" max="21" width="14.28515625" style="78" customWidth="1"/>
    <col min="22" max="16384" width="11.42578125" style="2"/>
  </cols>
  <sheetData>
    <row r="1" spans="1:21">
      <c r="A1" s="187" t="s">
        <v>0</v>
      </c>
      <c r="B1" s="12" t="s">
        <v>1</v>
      </c>
      <c r="C1" s="1">
        <v>2000</v>
      </c>
      <c r="D1" s="1">
        <v>2001</v>
      </c>
      <c r="E1" s="1">
        <v>2002</v>
      </c>
      <c r="F1" s="1">
        <v>2003</v>
      </c>
      <c r="G1" s="1">
        <v>2004</v>
      </c>
      <c r="H1" s="1">
        <v>2005</v>
      </c>
      <c r="I1" s="1">
        <v>2006</v>
      </c>
      <c r="J1" s="217">
        <v>2007</v>
      </c>
      <c r="K1" s="217">
        <v>2008</v>
      </c>
      <c r="L1" s="194">
        <v>2009</v>
      </c>
      <c r="M1" s="194">
        <v>2010</v>
      </c>
      <c r="N1" s="194">
        <v>2011</v>
      </c>
      <c r="O1" s="194">
        <v>2012</v>
      </c>
      <c r="P1" s="194">
        <v>2013</v>
      </c>
      <c r="Q1" s="344">
        <v>2014</v>
      </c>
      <c r="R1" s="344">
        <v>2015</v>
      </c>
      <c r="S1" s="344">
        <v>2016</v>
      </c>
      <c r="T1" s="344">
        <v>2017</v>
      </c>
      <c r="U1" s="344">
        <v>2018</v>
      </c>
    </row>
    <row r="2" spans="1:21" s="354" customFormat="1">
      <c r="A2" s="352" t="s">
        <v>3</v>
      </c>
      <c r="B2" s="8" t="s">
        <v>29</v>
      </c>
      <c r="C2" s="79"/>
      <c r="D2" s="79"/>
      <c r="E2" s="79"/>
      <c r="F2" s="79"/>
      <c r="G2" s="79"/>
      <c r="H2" s="79"/>
      <c r="I2" s="79"/>
      <c r="J2" s="353"/>
      <c r="K2" s="353"/>
      <c r="L2" s="349"/>
      <c r="M2" s="349"/>
      <c r="N2" s="349"/>
      <c r="O2" s="349" t="s">
        <v>103</v>
      </c>
      <c r="P2" s="349" t="s">
        <v>103</v>
      </c>
      <c r="Q2" s="350" t="s">
        <v>103</v>
      </c>
      <c r="R2" s="350" t="s">
        <v>103</v>
      </c>
      <c r="S2" s="350" t="s">
        <v>103</v>
      </c>
      <c r="T2" s="350" t="s">
        <v>103</v>
      </c>
      <c r="U2" s="350" t="s">
        <v>103</v>
      </c>
    </row>
    <row r="3" spans="1:21">
      <c r="A3" s="2"/>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704397</v>
      </c>
      <c r="D4" s="228">
        <f t="shared" si="0"/>
        <v>713996</v>
      </c>
      <c r="E4" s="228">
        <f t="shared" si="0"/>
        <v>670360</v>
      </c>
      <c r="F4" s="228">
        <f t="shared" si="0"/>
        <v>703278</v>
      </c>
      <c r="G4" s="228">
        <f t="shared" si="0"/>
        <v>765066</v>
      </c>
      <c r="H4" s="228">
        <f t="shared" si="0"/>
        <v>980905</v>
      </c>
      <c r="I4" s="198">
        <f t="shared" ref="I4:O4" si="1">I6+I11+I16+I18</f>
        <v>1229704</v>
      </c>
      <c r="J4" s="198">
        <f t="shared" si="1"/>
        <v>1424862</v>
      </c>
      <c r="K4" s="198">
        <f t="shared" si="1"/>
        <v>1556904</v>
      </c>
      <c r="L4" s="198">
        <f t="shared" si="1"/>
        <v>1546476</v>
      </c>
      <c r="M4" s="198">
        <f t="shared" si="1"/>
        <v>1639594</v>
      </c>
      <c r="N4" s="198">
        <f t="shared" si="1"/>
        <v>1822916.4628900001</v>
      </c>
      <c r="O4" s="198">
        <f t="shared" si="1"/>
        <v>1925906.9</v>
      </c>
      <c r="P4" s="198">
        <f t="shared" ref="P4:Q4" si="2">P6+P11+P16+P18</f>
        <v>3672457</v>
      </c>
      <c r="Q4" s="13">
        <f t="shared" si="2"/>
        <v>1675371.7495799998</v>
      </c>
      <c r="R4" s="13">
        <f t="shared" ref="R4" si="3">R6+R11+R16+R18</f>
        <v>1596017.8000000003</v>
      </c>
      <c r="S4" s="13">
        <f t="shared" ref="S4:T4" si="4">S6+S11+S16+S18</f>
        <v>1463084</v>
      </c>
      <c r="T4" s="13">
        <f t="shared" si="4"/>
        <v>1488378.1948899999</v>
      </c>
      <c r="U4" s="13">
        <f t="shared" ref="U4" si="5">U6+U11+U16+U18</f>
        <v>1809972.88</v>
      </c>
    </row>
    <row r="5" spans="1:21">
      <c r="A5" s="14"/>
      <c r="B5" s="15"/>
      <c r="C5" s="229"/>
      <c r="D5" s="230"/>
      <c r="E5" s="229"/>
      <c r="F5" s="229"/>
      <c r="G5" s="27"/>
      <c r="H5" s="196"/>
      <c r="I5" s="196"/>
      <c r="J5" s="196"/>
      <c r="K5" s="196"/>
      <c r="L5" s="196"/>
      <c r="M5" s="196"/>
      <c r="N5" s="196"/>
      <c r="O5" s="196"/>
      <c r="P5" s="196"/>
      <c r="Q5" s="18"/>
      <c r="R5" s="18"/>
      <c r="S5" s="18"/>
      <c r="T5" s="18"/>
      <c r="U5" s="18"/>
    </row>
    <row r="6" spans="1:21">
      <c r="A6" s="19">
        <v>10</v>
      </c>
      <c r="B6" s="12" t="s">
        <v>6</v>
      </c>
      <c r="C6" s="198">
        <f t="shared" ref="C6:H6" si="6">C7+C8+C9</f>
        <v>273343</v>
      </c>
      <c r="D6" s="198">
        <f t="shared" si="6"/>
        <v>311781</v>
      </c>
      <c r="E6" s="198">
        <f t="shared" si="6"/>
        <v>293390</v>
      </c>
      <c r="F6" s="198">
        <f t="shared" si="6"/>
        <v>295140</v>
      </c>
      <c r="G6" s="198">
        <f t="shared" si="6"/>
        <v>307042</v>
      </c>
      <c r="H6" s="198">
        <f t="shared" si="6"/>
        <v>503828</v>
      </c>
      <c r="I6" s="198">
        <f t="shared" ref="I6:N6" si="7">I7+I8+I9</f>
        <v>789751</v>
      </c>
      <c r="J6" s="198">
        <f t="shared" si="7"/>
        <v>1023283</v>
      </c>
      <c r="K6" s="198">
        <f t="shared" si="7"/>
        <v>1155461</v>
      </c>
      <c r="L6" s="198">
        <f t="shared" si="7"/>
        <v>1163976</v>
      </c>
      <c r="M6" s="198">
        <f t="shared" si="7"/>
        <v>1244884</v>
      </c>
      <c r="N6" s="198">
        <f t="shared" si="7"/>
        <v>1388967.4628900001</v>
      </c>
      <c r="O6" s="198">
        <f t="shared" ref="O6:T6" si="8">O7+O8+O9</f>
        <v>1483467.53</v>
      </c>
      <c r="P6" s="198">
        <f t="shared" si="8"/>
        <v>2639115</v>
      </c>
      <c r="Q6" s="13">
        <f t="shared" si="8"/>
        <v>1214743.2778899998</v>
      </c>
      <c r="R6" s="13">
        <f t="shared" si="8"/>
        <v>1126686.7000000002</v>
      </c>
      <c r="S6" s="13">
        <f t="shared" si="8"/>
        <v>982494.1</v>
      </c>
      <c r="T6" s="13">
        <f t="shared" si="8"/>
        <v>971991.69445000007</v>
      </c>
      <c r="U6" s="13">
        <f t="shared" ref="U6" si="9">U7+U8+U9</f>
        <v>1288181.1399999999</v>
      </c>
    </row>
    <row r="7" spans="1:21">
      <c r="A7" s="20" t="s">
        <v>7</v>
      </c>
      <c r="B7" s="21" t="s">
        <v>8</v>
      </c>
      <c r="C7" s="231">
        <v>209977</v>
      </c>
      <c r="D7" s="231">
        <v>242811</v>
      </c>
      <c r="E7" s="231">
        <v>243312</v>
      </c>
      <c r="F7" s="231">
        <v>222261</v>
      </c>
      <c r="G7" s="231">
        <v>235643</v>
      </c>
      <c r="H7" s="231">
        <v>429949</v>
      </c>
      <c r="I7" s="231">
        <f>294856+423675</f>
        <v>718531</v>
      </c>
      <c r="J7" s="222">
        <f>166105+787210</f>
        <v>953315</v>
      </c>
      <c r="K7" s="222">
        <v>1028686</v>
      </c>
      <c r="L7" s="196">
        <v>1020776</v>
      </c>
      <c r="M7" s="196">
        <v>1106948</v>
      </c>
      <c r="N7" s="298">
        <v>1252114.66289</v>
      </c>
      <c r="O7" s="298">
        <v>795070.16</v>
      </c>
      <c r="P7" s="298">
        <v>423686</v>
      </c>
      <c r="Q7" s="302">
        <v>621571.90990999993</v>
      </c>
      <c r="R7" s="302">
        <v>635113.9</v>
      </c>
      <c r="S7" s="302">
        <v>600485.6</v>
      </c>
      <c r="T7" s="302">
        <v>651792.97989999992</v>
      </c>
      <c r="U7" s="302">
        <v>1012358.8999999999</v>
      </c>
    </row>
    <row r="8" spans="1:21">
      <c r="A8" s="25">
        <v>102</v>
      </c>
      <c r="B8" s="26" t="s">
        <v>9</v>
      </c>
      <c r="C8" s="231">
        <v>59669</v>
      </c>
      <c r="D8" s="231">
        <v>52911</v>
      </c>
      <c r="E8" s="231">
        <v>47699</v>
      </c>
      <c r="F8" s="231">
        <v>63629</v>
      </c>
      <c r="G8" s="231">
        <v>62814</v>
      </c>
      <c r="H8" s="231">
        <v>62876</v>
      </c>
      <c r="I8" s="231">
        <v>61586</v>
      </c>
      <c r="J8" s="221">
        <v>60560</v>
      </c>
      <c r="K8" s="221">
        <v>111777</v>
      </c>
      <c r="L8" s="199">
        <v>134246</v>
      </c>
      <c r="M8" s="199">
        <v>130456</v>
      </c>
      <c r="N8" s="300">
        <v>126725.8</v>
      </c>
      <c r="O8" s="300">
        <v>670883.07000000007</v>
      </c>
      <c r="P8" s="300">
        <v>1681734</v>
      </c>
      <c r="Q8" s="302">
        <v>533041.34890999994</v>
      </c>
      <c r="R8" s="302">
        <v>422149.69999999995</v>
      </c>
      <c r="S8" s="302">
        <v>334050.40000000002</v>
      </c>
      <c r="T8" s="302">
        <v>268963.58786000003</v>
      </c>
      <c r="U8" s="302">
        <v>226405.81999999998</v>
      </c>
    </row>
    <row r="9" spans="1:21">
      <c r="A9" s="25">
        <v>103</v>
      </c>
      <c r="B9" s="26" t="s">
        <v>10</v>
      </c>
      <c r="C9" s="231">
        <v>3697</v>
      </c>
      <c r="D9" s="231">
        <v>16059</v>
      </c>
      <c r="E9" s="231">
        <v>2379</v>
      </c>
      <c r="F9" s="231">
        <v>9250</v>
      </c>
      <c r="G9" s="231">
        <v>8585</v>
      </c>
      <c r="H9" s="231">
        <v>11003</v>
      </c>
      <c r="I9" s="231">
        <v>9634</v>
      </c>
      <c r="J9" s="222">
        <v>9408</v>
      </c>
      <c r="K9" s="222">
        <v>14998</v>
      </c>
      <c r="L9" s="196">
        <v>8954</v>
      </c>
      <c r="M9" s="196">
        <v>7480</v>
      </c>
      <c r="N9" s="298">
        <v>10127</v>
      </c>
      <c r="O9" s="298">
        <v>17514.3</v>
      </c>
      <c r="P9" s="298">
        <v>533695</v>
      </c>
      <c r="Q9" s="302">
        <v>60130.019070000002</v>
      </c>
      <c r="R9" s="302">
        <v>69423.100000000006</v>
      </c>
      <c r="S9" s="302">
        <v>47958.1</v>
      </c>
      <c r="T9" s="302">
        <v>51235.126690000005</v>
      </c>
      <c r="U9" s="302">
        <v>49416.42</v>
      </c>
    </row>
    <row r="10" spans="1:21">
      <c r="A10" s="28"/>
      <c r="B10" s="29"/>
      <c r="C10" s="232"/>
      <c r="D10" s="233"/>
      <c r="E10" s="232"/>
      <c r="F10" s="232"/>
      <c r="G10" s="27"/>
      <c r="H10" s="196"/>
      <c r="I10" s="196"/>
      <c r="J10" s="196"/>
      <c r="K10" s="196"/>
      <c r="L10" s="196"/>
      <c r="M10" s="196"/>
      <c r="N10" s="196"/>
      <c r="O10" s="196"/>
      <c r="P10" s="196"/>
      <c r="Q10" s="18"/>
      <c r="R10" s="18"/>
      <c r="S10" s="18"/>
      <c r="T10" s="18"/>
      <c r="U10" s="18"/>
    </row>
    <row r="11" spans="1:21">
      <c r="A11" s="19">
        <v>11</v>
      </c>
      <c r="B11" s="12" t="s">
        <v>11</v>
      </c>
      <c r="C11" s="198">
        <f t="shared" ref="C11:H11" si="10">C12+C13+C14</f>
        <v>431054</v>
      </c>
      <c r="D11" s="198">
        <f t="shared" si="10"/>
        <v>402215</v>
      </c>
      <c r="E11" s="198">
        <f t="shared" si="10"/>
        <v>376970</v>
      </c>
      <c r="F11" s="198">
        <f t="shared" si="10"/>
        <v>408138</v>
      </c>
      <c r="G11" s="198">
        <f t="shared" si="10"/>
        <v>458024</v>
      </c>
      <c r="H11" s="198">
        <f t="shared" si="10"/>
        <v>477077</v>
      </c>
      <c r="I11" s="198">
        <f t="shared" ref="I11:N11" si="11">I12+I13+I14</f>
        <v>439953</v>
      </c>
      <c r="J11" s="198">
        <f t="shared" si="11"/>
        <v>401579</v>
      </c>
      <c r="K11" s="198">
        <f t="shared" si="11"/>
        <v>401443</v>
      </c>
      <c r="L11" s="198">
        <f t="shared" si="11"/>
        <v>382500</v>
      </c>
      <c r="M11" s="198">
        <f t="shared" si="11"/>
        <v>394710</v>
      </c>
      <c r="N11" s="198">
        <f t="shared" si="11"/>
        <v>433949</v>
      </c>
      <c r="O11" s="198">
        <f>O12+O13+O14</f>
        <v>442439.37</v>
      </c>
      <c r="P11" s="198">
        <f>P12+P13+P14</f>
        <v>1033342</v>
      </c>
      <c r="Q11" s="13">
        <f t="shared" ref="Q11" si="12">Q12+Q13+Q14</f>
        <v>460628.47168999998</v>
      </c>
      <c r="R11" s="13">
        <f t="shared" ref="R11" si="13">R12+R13+R14</f>
        <v>469331.1</v>
      </c>
      <c r="S11" s="13">
        <f t="shared" ref="S11:T11" si="14">S12+S13+S14</f>
        <v>480589.9</v>
      </c>
      <c r="T11" s="13">
        <f t="shared" si="14"/>
        <v>516386.50043999997</v>
      </c>
      <c r="U11" s="13">
        <f t="shared" ref="U11" si="15">U12+U13+U14</f>
        <v>521791.74</v>
      </c>
    </row>
    <row r="12" spans="1:21">
      <c r="A12" s="32">
        <v>114</v>
      </c>
      <c r="B12" s="21" t="s">
        <v>12</v>
      </c>
      <c r="C12" s="231">
        <v>203870</v>
      </c>
      <c r="D12" s="231">
        <v>206957</v>
      </c>
      <c r="E12" s="231">
        <v>201786</v>
      </c>
      <c r="F12" s="231">
        <v>197597</v>
      </c>
      <c r="G12" s="231">
        <v>219982</v>
      </c>
      <c r="H12" s="231">
        <v>244681</v>
      </c>
      <c r="I12" s="231">
        <v>216008</v>
      </c>
      <c r="J12" s="222">
        <v>264792</v>
      </c>
      <c r="K12" s="222">
        <v>262013</v>
      </c>
      <c r="L12" s="196">
        <v>261700</v>
      </c>
      <c r="M12" s="196">
        <v>237329</v>
      </c>
      <c r="N12" s="298">
        <v>240181</v>
      </c>
      <c r="O12" s="298">
        <v>237489</v>
      </c>
      <c r="P12" s="298">
        <v>533290</v>
      </c>
      <c r="Q12" s="302">
        <v>260095</v>
      </c>
      <c r="R12" s="302">
        <v>273006</v>
      </c>
      <c r="S12" s="302">
        <v>292739</v>
      </c>
      <c r="T12" s="302">
        <v>330568</v>
      </c>
      <c r="U12" s="302">
        <v>337867</v>
      </c>
    </row>
    <row r="13" spans="1:21">
      <c r="A13" s="25">
        <v>115</v>
      </c>
      <c r="B13" s="26" t="s">
        <v>13</v>
      </c>
      <c r="C13" s="231">
        <v>117054</v>
      </c>
      <c r="D13" s="231">
        <v>77955</v>
      </c>
      <c r="E13" s="231">
        <v>51803</v>
      </c>
      <c r="F13" s="231">
        <v>70382</v>
      </c>
      <c r="G13" s="231">
        <v>70269</v>
      </c>
      <c r="H13" s="231">
        <v>69514</v>
      </c>
      <c r="I13" s="231">
        <v>68743</v>
      </c>
      <c r="J13" s="221">
        <v>68228</v>
      </c>
      <c r="K13" s="221">
        <v>67679</v>
      </c>
      <c r="L13" s="199">
        <v>67624</v>
      </c>
      <c r="M13" s="199">
        <v>68731</v>
      </c>
      <c r="N13" s="300">
        <v>99120</v>
      </c>
      <c r="O13" s="300">
        <v>111747.37</v>
      </c>
      <c r="P13" s="300">
        <v>500052</v>
      </c>
      <c r="Q13" s="302">
        <v>115034.47069000002</v>
      </c>
      <c r="R13" s="302">
        <v>115359.1</v>
      </c>
      <c r="S13" s="302">
        <v>106631.9</v>
      </c>
      <c r="T13" s="302">
        <v>102351.49944</v>
      </c>
      <c r="U13" s="302">
        <v>101903.74</v>
      </c>
    </row>
    <row r="14" spans="1:21">
      <c r="A14" s="33" t="s">
        <v>14</v>
      </c>
      <c r="B14" s="34" t="s">
        <v>15</v>
      </c>
      <c r="C14" s="231">
        <v>110130</v>
      </c>
      <c r="D14" s="231">
        <v>117303</v>
      </c>
      <c r="E14" s="231">
        <v>123381</v>
      </c>
      <c r="F14" s="231">
        <v>140159</v>
      </c>
      <c r="G14" s="231">
        <v>167773</v>
      </c>
      <c r="H14" s="231">
        <v>162882</v>
      </c>
      <c r="I14" s="231">
        <v>155202</v>
      </c>
      <c r="J14" s="222">
        <v>68559</v>
      </c>
      <c r="K14" s="222">
        <v>71751</v>
      </c>
      <c r="L14" s="196">
        <v>53176</v>
      </c>
      <c r="M14" s="196">
        <v>88650</v>
      </c>
      <c r="N14" s="298">
        <v>94648</v>
      </c>
      <c r="O14" s="298">
        <v>93203</v>
      </c>
      <c r="P14" s="298">
        <v>0</v>
      </c>
      <c r="Q14" s="302">
        <v>85499.001000000004</v>
      </c>
      <c r="R14" s="302">
        <v>80966</v>
      </c>
      <c r="S14" s="302">
        <v>81219</v>
      </c>
      <c r="T14" s="302">
        <v>83467.001000000004</v>
      </c>
      <c r="U14" s="302">
        <v>82021</v>
      </c>
    </row>
    <row r="15" spans="1:21">
      <c r="A15" s="35"/>
      <c r="B15" s="36"/>
      <c r="C15" s="232"/>
      <c r="D15" s="233"/>
      <c r="E15" s="232"/>
      <c r="F15" s="232"/>
      <c r="G15" s="27"/>
      <c r="H15" s="200"/>
      <c r="I15" s="234"/>
      <c r="J15" s="200"/>
      <c r="K15" s="200"/>
      <c r="L15" s="200"/>
      <c r="M15" s="200"/>
      <c r="N15" s="305"/>
      <c r="O15" s="305"/>
      <c r="P15" s="305"/>
      <c r="Q15" s="308"/>
      <c r="R15" s="308"/>
      <c r="S15" s="308"/>
      <c r="T15" s="308"/>
      <c r="U15" s="308"/>
    </row>
    <row r="16" spans="1:21">
      <c r="A16" s="11">
        <v>12</v>
      </c>
      <c r="B16" s="38" t="s">
        <v>16</v>
      </c>
      <c r="C16" s="198">
        <v>0</v>
      </c>
      <c r="D16" s="198">
        <v>0</v>
      </c>
      <c r="E16" s="198">
        <v>0</v>
      </c>
      <c r="F16" s="198">
        <v>0</v>
      </c>
      <c r="G16" s="198">
        <v>0</v>
      </c>
      <c r="H16" s="198">
        <v>0</v>
      </c>
      <c r="I16" s="198">
        <v>0</v>
      </c>
      <c r="J16" s="198">
        <v>0</v>
      </c>
      <c r="K16" s="198">
        <v>0</v>
      </c>
      <c r="L16" s="198">
        <v>0</v>
      </c>
      <c r="M16" s="198">
        <v>0</v>
      </c>
      <c r="N16" s="313">
        <v>0</v>
      </c>
      <c r="O16" s="313">
        <v>0</v>
      </c>
      <c r="P16" s="313">
        <v>0</v>
      </c>
      <c r="Q16" s="309">
        <v>0</v>
      </c>
      <c r="R16" s="309">
        <v>0</v>
      </c>
      <c r="S16" s="309">
        <v>0</v>
      </c>
      <c r="T16" s="309">
        <v>0</v>
      </c>
      <c r="U16" s="309">
        <v>0</v>
      </c>
    </row>
    <row r="17" spans="1:21">
      <c r="A17" s="39"/>
      <c r="B17" s="40"/>
      <c r="C17" s="229"/>
      <c r="D17" s="230"/>
      <c r="E17" s="229"/>
      <c r="F17" s="229"/>
      <c r="G17" s="235"/>
      <c r="H17" s="196"/>
      <c r="I17" s="196"/>
      <c r="J17" s="196"/>
      <c r="K17" s="196"/>
      <c r="L17" s="196"/>
      <c r="M17" s="196"/>
      <c r="N17" s="298"/>
      <c r="O17" s="298"/>
      <c r="P17" s="298"/>
      <c r="Q17" s="311"/>
      <c r="R17" s="311"/>
      <c r="S17" s="311"/>
      <c r="T17" s="311"/>
      <c r="U17" s="311"/>
    </row>
    <row r="18" spans="1:21">
      <c r="A18" s="11">
        <v>13</v>
      </c>
      <c r="B18" s="38" t="s">
        <v>17</v>
      </c>
      <c r="C18" s="198">
        <v>0</v>
      </c>
      <c r="D18" s="198">
        <v>0</v>
      </c>
      <c r="E18" s="198">
        <v>0</v>
      </c>
      <c r="F18" s="198">
        <v>0</v>
      </c>
      <c r="G18" s="198">
        <v>0</v>
      </c>
      <c r="H18" s="198">
        <v>0</v>
      </c>
      <c r="I18" s="198">
        <v>0</v>
      </c>
      <c r="J18" s="198">
        <v>0</v>
      </c>
      <c r="K18" s="198">
        <v>0</v>
      </c>
      <c r="L18" s="198">
        <v>0</v>
      </c>
      <c r="M18" s="198">
        <v>0</v>
      </c>
      <c r="N18" s="313">
        <v>0</v>
      </c>
      <c r="O18" s="313">
        <v>0</v>
      </c>
      <c r="P18" s="313">
        <v>0</v>
      </c>
      <c r="Q18" s="309">
        <v>0</v>
      </c>
      <c r="R18" s="309">
        <v>0</v>
      </c>
      <c r="S18" s="309">
        <v>0</v>
      </c>
      <c r="T18" s="309">
        <v>0</v>
      </c>
      <c r="U18" s="309">
        <v>0</v>
      </c>
    </row>
    <row r="19" spans="1:21">
      <c r="A19" s="41"/>
      <c r="B19" s="42"/>
      <c r="C19" s="236"/>
      <c r="D19" s="237"/>
      <c r="E19" s="236"/>
      <c r="F19" s="236"/>
      <c r="G19" s="24"/>
      <c r="H19" s="196"/>
      <c r="I19" s="196"/>
      <c r="J19" s="196"/>
      <c r="K19" s="196"/>
      <c r="L19" s="196"/>
      <c r="M19" s="196"/>
      <c r="N19" s="298"/>
      <c r="O19" s="298"/>
      <c r="P19" s="298"/>
      <c r="Q19" s="311"/>
      <c r="R19" s="311"/>
      <c r="S19" s="311"/>
      <c r="T19" s="311"/>
      <c r="U19" s="311"/>
    </row>
    <row r="20" spans="1:21">
      <c r="A20" s="43"/>
      <c r="B20" s="36"/>
      <c r="C20" s="232"/>
      <c r="D20" s="233"/>
      <c r="E20" s="232"/>
      <c r="F20" s="232"/>
      <c r="G20" s="238"/>
      <c r="H20" s="200"/>
      <c r="I20" s="234"/>
      <c r="J20" s="200"/>
      <c r="K20" s="200"/>
      <c r="L20" s="200"/>
      <c r="M20" s="200"/>
      <c r="N20" s="305"/>
      <c r="O20" s="305"/>
      <c r="P20" s="305"/>
      <c r="Q20" s="308"/>
      <c r="R20" s="308"/>
      <c r="S20" s="308"/>
      <c r="T20" s="308"/>
      <c r="U20" s="308"/>
    </row>
    <row r="21" spans="1:21">
      <c r="A21" s="11">
        <v>2</v>
      </c>
      <c r="B21" s="38" t="s">
        <v>18</v>
      </c>
      <c r="C21" s="198">
        <f t="shared" ref="C21:H21" si="16">C23+C28+C30+C32+C34</f>
        <v>704397</v>
      </c>
      <c r="D21" s="198">
        <f t="shared" si="16"/>
        <v>713996</v>
      </c>
      <c r="E21" s="198">
        <f t="shared" si="16"/>
        <v>670360</v>
      </c>
      <c r="F21" s="198">
        <f t="shared" si="16"/>
        <v>703278</v>
      </c>
      <c r="G21" s="198">
        <f t="shared" si="16"/>
        <v>765066</v>
      </c>
      <c r="H21" s="198">
        <f t="shared" si="16"/>
        <v>980904.71669999999</v>
      </c>
      <c r="I21" s="198">
        <f t="shared" ref="I21:N21" si="17">I23+I28+I30+I32+I34</f>
        <v>1229704</v>
      </c>
      <c r="J21" s="198">
        <f t="shared" si="17"/>
        <v>1424862</v>
      </c>
      <c r="K21" s="198">
        <f t="shared" si="17"/>
        <v>1556904</v>
      </c>
      <c r="L21" s="198">
        <f t="shared" si="17"/>
        <v>1546476</v>
      </c>
      <c r="M21" s="198">
        <f t="shared" si="17"/>
        <v>1639594</v>
      </c>
      <c r="N21" s="198">
        <f t="shared" si="17"/>
        <v>1837476.2999999998</v>
      </c>
      <c r="O21" s="198">
        <f>O23+O28+O30+O32+O34</f>
        <v>1925906.92</v>
      </c>
      <c r="P21" s="198">
        <f>P23+P28+P30+P32+P34</f>
        <v>3672457</v>
      </c>
      <c r="Q21" s="13">
        <f t="shared" ref="Q21:R21" si="18">Q23+Q28+Q30+Q32+Q34</f>
        <v>1675371.7495800001</v>
      </c>
      <c r="R21" s="13">
        <f t="shared" si="18"/>
        <v>1596017.7999999998</v>
      </c>
      <c r="S21" s="13">
        <f t="shared" ref="S21:T21" si="19">S23+S28+S30+S32+S34</f>
        <v>1463084</v>
      </c>
      <c r="T21" s="13">
        <f t="shared" si="19"/>
        <v>1488378.1948899999</v>
      </c>
      <c r="U21" s="13">
        <f t="shared" ref="U21" si="20">U23+U28+U30+U32+U34</f>
        <v>1809972.88</v>
      </c>
    </row>
    <row r="22" spans="1:21">
      <c r="A22" s="44"/>
      <c r="B22" s="45"/>
      <c r="C22" s="229"/>
      <c r="D22" s="230"/>
      <c r="E22" s="229"/>
      <c r="F22" s="229"/>
      <c r="G22" s="24"/>
      <c r="H22" s="196"/>
      <c r="I22" s="196"/>
      <c r="J22" s="196"/>
      <c r="K22" s="196"/>
      <c r="L22" s="196"/>
      <c r="M22" s="196"/>
      <c r="N22" s="196"/>
      <c r="O22" s="196"/>
      <c r="P22" s="196"/>
      <c r="Q22" s="18"/>
      <c r="R22" s="18"/>
      <c r="S22" s="18"/>
      <c r="T22" s="18"/>
      <c r="U22" s="18"/>
    </row>
    <row r="23" spans="1:21">
      <c r="A23" s="46">
        <v>20</v>
      </c>
      <c r="B23" s="47" t="s">
        <v>19</v>
      </c>
      <c r="C23" s="198">
        <f t="shared" ref="C23:H23" si="21">C24+C25+C26</f>
        <v>388567</v>
      </c>
      <c r="D23" s="198">
        <f t="shared" si="21"/>
        <v>379600</v>
      </c>
      <c r="E23" s="198">
        <f t="shared" si="21"/>
        <v>381413</v>
      </c>
      <c r="F23" s="198">
        <f t="shared" si="21"/>
        <v>442075</v>
      </c>
      <c r="G23" s="198">
        <f t="shared" si="21"/>
        <v>456622</v>
      </c>
      <c r="H23" s="198">
        <f t="shared" si="21"/>
        <v>501575</v>
      </c>
      <c r="I23" s="198">
        <f t="shared" ref="I23:N23" si="22">I24+I25+I26</f>
        <v>580959</v>
      </c>
      <c r="J23" s="198">
        <f t="shared" si="22"/>
        <v>616555</v>
      </c>
      <c r="K23" s="198">
        <f t="shared" si="22"/>
        <v>533403</v>
      </c>
      <c r="L23" s="198">
        <f t="shared" si="22"/>
        <v>455081</v>
      </c>
      <c r="M23" s="198">
        <f t="shared" si="22"/>
        <v>534163</v>
      </c>
      <c r="N23" s="198">
        <f t="shared" si="22"/>
        <v>630166.89999999991</v>
      </c>
      <c r="O23" s="198">
        <f>O24+O25+O26</f>
        <v>712126.29</v>
      </c>
      <c r="P23" s="198">
        <f>P24+P25+P26</f>
        <v>785225</v>
      </c>
      <c r="Q23" s="13">
        <f t="shared" ref="Q23:R23" si="23">Q24+Q25+Q26</f>
        <v>652205.92536999995</v>
      </c>
      <c r="R23" s="13">
        <f t="shared" si="23"/>
        <v>683539.2</v>
      </c>
      <c r="S23" s="13">
        <f t="shared" ref="S23:T23" si="24">S24+S25+S26</f>
        <v>638049.39999999991</v>
      </c>
      <c r="T23" s="13">
        <f t="shared" si="24"/>
        <v>710848.93911000004</v>
      </c>
      <c r="U23" s="13">
        <f t="shared" ref="U23" si="25">U24+U25+U26</f>
        <v>938281.54</v>
      </c>
    </row>
    <row r="24" spans="1:21">
      <c r="A24" s="48" t="s">
        <v>20</v>
      </c>
      <c r="B24" s="49" t="s">
        <v>21</v>
      </c>
      <c r="C24" s="231">
        <v>297276</v>
      </c>
      <c r="D24" s="231">
        <v>295475</v>
      </c>
      <c r="E24" s="231">
        <v>329139</v>
      </c>
      <c r="F24" s="231">
        <v>373050</v>
      </c>
      <c r="G24" s="231">
        <v>385842</v>
      </c>
      <c r="H24" s="231">
        <v>420080</v>
      </c>
      <c r="I24" s="231">
        <f>503770+1491</f>
        <v>505261</v>
      </c>
      <c r="J24" s="222">
        <f>535187+433</f>
        <v>535620</v>
      </c>
      <c r="K24" s="222">
        <v>449587</v>
      </c>
      <c r="L24" s="196">
        <v>385684</v>
      </c>
      <c r="M24" s="196">
        <v>459338</v>
      </c>
      <c r="N24" s="298">
        <v>557383.69999999995</v>
      </c>
      <c r="O24" s="298">
        <v>636550.42000000004</v>
      </c>
      <c r="P24" s="298">
        <v>378318</v>
      </c>
      <c r="Q24" s="302">
        <v>556021.64807999996</v>
      </c>
      <c r="R24" s="302">
        <v>599337.19999999995</v>
      </c>
      <c r="S24" s="302">
        <v>555451.19999999995</v>
      </c>
      <c r="T24" s="302">
        <v>621880.2933100001</v>
      </c>
      <c r="U24" s="302">
        <v>844201.39</v>
      </c>
    </row>
    <row r="25" spans="1:21">
      <c r="A25" s="50">
        <v>202</v>
      </c>
      <c r="B25" s="51" t="s">
        <v>22</v>
      </c>
      <c r="C25" s="231">
        <v>79313</v>
      </c>
      <c r="D25" s="231">
        <v>44465</v>
      </c>
      <c r="E25" s="231">
        <v>18653</v>
      </c>
      <c r="F25" s="231">
        <v>19969</v>
      </c>
      <c r="G25" s="231">
        <v>19983</v>
      </c>
      <c r="H25" s="231">
        <v>22217</v>
      </c>
      <c r="I25" s="231">
        <f>20049+2134</f>
        <v>22183</v>
      </c>
      <c r="J25" s="221">
        <f>20602</f>
        <v>20602</v>
      </c>
      <c r="K25" s="221">
        <v>21352</v>
      </c>
      <c r="L25" s="199">
        <v>21636</v>
      </c>
      <c r="M25" s="199">
        <v>21622</v>
      </c>
      <c r="N25" s="300">
        <v>20631.5</v>
      </c>
      <c r="O25" s="300">
        <v>20639.39</v>
      </c>
      <c r="P25" s="300">
        <v>228708</v>
      </c>
      <c r="Q25" s="302">
        <v>21483.456549999999</v>
      </c>
      <c r="R25" s="302">
        <v>21504.2</v>
      </c>
      <c r="S25" s="302">
        <v>21504.2</v>
      </c>
      <c r="T25" s="302">
        <v>21504.218699999998</v>
      </c>
      <c r="U25" s="302">
        <v>21504.22</v>
      </c>
    </row>
    <row r="26" spans="1:21">
      <c r="A26" s="50">
        <v>205</v>
      </c>
      <c r="B26" s="52" t="s">
        <v>23</v>
      </c>
      <c r="C26" s="231">
        <v>11978</v>
      </c>
      <c r="D26" s="231">
        <v>39660</v>
      </c>
      <c r="E26" s="231">
        <v>33621</v>
      </c>
      <c r="F26" s="231">
        <v>49056</v>
      </c>
      <c r="G26" s="231">
        <v>50797</v>
      </c>
      <c r="H26" s="231">
        <v>59278</v>
      </c>
      <c r="I26" s="231">
        <v>53515</v>
      </c>
      <c r="J26" s="222">
        <v>60333</v>
      </c>
      <c r="K26" s="222">
        <v>62464</v>
      </c>
      <c r="L26" s="196">
        <v>47761</v>
      </c>
      <c r="M26" s="196">
        <v>53203</v>
      </c>
      <c r="N26" s="298">
        <v>52151.7</v>
      </c>
      <c r="O26" s="298">
        <v>54936.480000000003</v>
      </c>
      <c r="P26" s="298">
        <v>178199</v>
      </c>
      <c r="Q26" s="302">
        <v>74700.820739999996</v>
      </c>
      <c r="R26" s="302">
        <v>62697.8</v>
      </c>
      <c r="S26" s="302">
        <v>61094</v>
      </c>
      <c r="T26" s="302">
        <v>67464.427100000015</v>
      </c>
      <c r="U26" s="302">
        <v>72575.929999999993</v>
      </c>
    </row>
    <row r="27" spans="1:21">
      <c r="A27" s="35"/>
      <c r="B27" s="36"/>
      <c r="C27" s="232"/>
      <c r="D27" s="233"/>
      <c r="E27" s="232"/>
      <c r="F27" s="232"/>
      <c r="G27" s="238"/>
      <c r="H27" s="200"/>
      <c r="I27" s="234"/>
      <c r="J27" s="200"/>
      <c r="K27" s="200"/>
      <c r="L27" s="200"/>
      <c r="M27" s="200"/>
      <c r="N27" s="305"/>
      <c r="O27" s="305"/>
      <c r="P27" s="305"/>
      <c r="Q27" s="308"/>
      <c r="R27" s="308"/>
      <c r="S27" s="308"/>
      <c r="T27" s="308"/>
      <c r="U27" s="308"/>
    </row>
    <row r="28" spans="1:21">
      <c r="A28" s="11">
        <v>23</v>
      </c>
      <c r="B28" s="38" t="s">
        <v>24</v>
      </c>
      <c r="C28" s="198">
        <v>0</v>
      </c>
      <c r="D28" s="198">
        <v>0</v>
      </c>
      <c r="E28" s="198">
        <v>0</v>
      </c>
      <c r="F28" s="198">
        <v>0</v>
      </c>
      <c r="G28" s="198">
        <v>0</v>
      </c>
      <c r="H28" s="198">
        <v>0</v>
      </c>
      <c r="I28" s="198">
        <v>0</v>
      </c>
      <c r="J28" s="198">
        <v>0</v>
      </c>
      <c r="K28" s="198">
        <v>0</v>
      </c>
      <c r="L28" s="198">
        <v>0</v>
      </c>
      <c r="M28" s="198">
        <v>0</v>
      </c>
      <c r="N28" s="313">
        <v>0</v>
      </c>
      <c r="O28" s="313">
        <v>0</v>
      </c>
      <c r="P28" s="313">
        <v>0</v>
      </c>
      <c r="Q28" s="309"/>
      <c r="R28" s="309"/>
      <c r="S28" s="309"/>
      <c r="T28" s="309"/>
      <c r="U28" s="309"/>
    </row>
    <row r="29" spans="1:21">
      <c r="A29" s="53"/>
      <c r="B29" s="40"/>
      <c r="C29" s="229"/>
      <c r="D29" s="230"/>
      <c r="E29" s="229"/>
      <c r="F29" s="229"/>
      <c r="G29" s="213"/>
      <c r="H29" s="196"/>
      <c r="I29" s="196"/>
      <c r="J29" s="196"/>
      <c r="K29" s="196"/>
      <c r="L29" s="196"/>
      <c r="M29" s="196"/>
      <c r="N29" s="298"/>
      <c r="O29" s="298"/>
      <c r="P29" s="298"/>
      <c r="Q29" s="311"/>
      <c r="R29" s="311"/>
      <c r="S29" s="311"/>
      <c r="T29" s="311"/>
      <c r="U29" s="311"/>
    </row>
    <row r="30" spans="1:21">
      <c r="A30" s="11">
        <v>24</v>
      </c>
      <c r="B30" s="38" t="s">
        <v>25</v>
      </c>
      <c r="C30" s="198">
        <v>0</v>
      </c>
      <c r="D30" s="198">
        <v>0</v>
      </c>
      <c r="E30" s="198">
        <v>0</v>
      </c>
      <c r="F30" s="198">
        <v>0</v>
      </c>
      <c r="G30" s="198">
        <v>0</v>
      </c>
      <c r="H30" s="198">
        <v>0</v>
      </c>
      <c r="I30" s="198">
        <v>0</v>
      </c>
      <c r="J30" s="198">
        <v>374</v>
      </c>
      <c r="K30" s="198">
        <v>687</v>
      </c>
      <c r="L30" s="198">
        <v>987</v>
      </c>
      <c r="M30" s="198">
        <v>1078</v>
      </c>
      <c r="N30" s="313">
        <v>10847</v>
      </c>
      <c r="O30" s="313">
        <v>9787.5</v>
      </c>
      <c r="P30" s="313">
        <v>137755</v>
      </c>
      <c r="Q30" s="309">
        <v>12698.772000000001</v>
      </c>
      <c r="R30" s="309">
        <v>11055.7</v>
      </c>
      <c r="S30" s="309">
        <v>11216.8</v>
      </c>
      <c r="T30" s="309">
        <v>12935.69</v>
      </c>
      <c r="U30" s="309">
        <v>12783.47</v>
      </c>
    </row>
    <row r="31" spans="1:21">
      <c r="A31" s="44"/>
      <c r="B31" s="45"/>
      <c r="C31" s="231"/>
      <c r="D31" s="230"/>
      <c r="E31" s="229"/>
      <c r="F31" s="229"/>
      <c r="G31" s="198"/>
      <c r="H31" s="196"/>
      <c r="I31" s="196"/>
      <c r="J31" s="196"/>
      <c r="K31" s="196"/>
      <c r="L31" s="196"/>
      <c r="M31" s="196"/>
      <c r="N31" s="298"/>
      <c r="O31" s="298"/>
      <c r="P31" s="298"/>
      <c r="Q31" s="311"/>
      <c r="R31" s="311"/>
      <c r="S31" s="311"/>
      <c r="T31" s="311"/>
      <c r="U31" s="311"/>
    </row>
    <row r="32" spans="1:21">
      <c r="A32" s="54">
        <v>28</v>
      </c>
      <c r="B32" s="47" t="s">
        <v>26</v>
      </c>
      <c r="C32" s="198">
        <v>86772</v>
      </c>
      <c r="D32" s="198">
        <v>94668</v>
      </c>
      <c r="E32" s="198">
        <v>95356</v>
      </c>
      <c r="F32" s="198">
        <v>96661</v>
      </c>
      <c r="G32" s="198">
        <v>99363</v>
      </c>
      <c r="H32" s="198">
        <v>112203.98302</v>
      </c>
      <c r="I32" s="198">
        <v>128629</v>
      </c>
      <c r="J32" s="198">
        <v>134974</v>
      </c>
      <c r="K32" s="198">
        <v>144536</v>
      </c>
      <c r="L32" s="198">
        <v>159272</v>
      </c>
      <c r="M32" s="198">
        <v>174520</v>
      </c>
      <c r="N32" s="313">
        <v>188448</v>
      </c>
      <c r="O32" s="313">
        <v>0</v>
      </c>
      <c r="P32" s="313">
        <v>60622</v>
      </c>
      <c r="Q32" s="309">
        <v>0</v>
      </c>
      <c r="R32" s="309">
        <v>8164.9</v>
      </c>
      <c r="S32" s="309">
        <v>7968.4</v>
      </c>
      <c r="T32" s="309">
        <v>8191.5358400000005</v>
      </c>
      <c r="U32" s="309">
        <v>8207.34</v>
      </c>
    </row>
    <row r="33" spans="1:21">
      <c r="A33" s="53"/>
      <c r="B33" s="40"/>
      <c r="C33" s="229"/>
      <c r="D33" s="230"/>
      <c r="E33" s="229"/>
      <c r="F33" s="229"/>
      <c r="G33" s="198"/>
      <c r="H33" s="196"/>
      <c r="I33" s="196"/>
      <c r="J33" s="196"/>
      <c r="K33" s="196"/>
      <c r="L33" s="196"/>
      <c r="M33" s="196"/>
      <c r="N33" s="298"/>
      <c r="O33" s="298"/>
      <c r="P33" s="298"/>
      <c r="Q33" s="311"/>
      <c r="R33" s="311"/>
      <c r="S33" s="311"/>
      <c r="T33" s="311"/>
      <c r="U33" s="311"/>
    </row>
    <row r="34" spans="1:21">
      <c r="A34" s="11">
        <v>29</v>
      </c>
      <c r="B34" s="38" t="s">
        <v>27</v>
      </c>
      <c r="C34" s="198">
        <v>229058</v>
      </c>
      <c r="D34" s="198">
        <v>239728</v>
      </c>
      <c r="E34" s="198">
        <v>193591</v>
      </c>
      <c r="F34" s="198">
        <v>164542</v>
      </c>
      <c r="G34" s="198">
        <v>209081</v>
      </c>
      <c r="H34" s="198">
        <v>367125.73368</v>
      </c>
      <c r="I34" s="198">
        <f>365427+154689</f>
        <v>520116</v>
      </c>
      <c r="J34" s="198">
        <v>672959</v>
      </c>
      <c r="K34" s="198">
        <v>878278</v>
      </c>
      <c r="L34" s="198">
        <v>931136</v>
      </c>
      <c r="M34" s="198">
        <v>929833</v>
      </c>
      <c r="N34" s="313">
        <v>1008014.4</v>
      </c>
      <c r="O34" s="313">
        <v>1203993.1299999999</v>
      </c>
      <c r="P34" s="313">
        <v>2688855</v>
      </c>
      <c r="Q34" s="309">
        <v>1010467.05221</v>
      </c>
      <c r="R34" s="309">
        <v>893258</v>
      </c>
      <c r="S34" s="309">
        <v>805849.4</v>
      </c>
      <c r="T34" s="309">
        <v>756402.02994000004</v>
      </c>
      <c r="U34" s="309">
        <v>850700.53</v>
      </c>
    </row>
    <row r="35" spans="1:21">
      <c r="A35" s="41"/>
      <c r="B35" s="42"/>
      <c r="C35" s="56"/>
      <c r="D35" s="57"/>
      <c r="E35" s="56"/>
      <c r="F35" s="56"/>
      <c r="G35" s="24"/>
      <c r="H35" s="24"/>
      <c r="I35" s="24"/>
      <c r="J35" s="24"/>
      <c r="K35" s="24"/>
      <c r="L35" s="167"/>
      <c r="M35" s="167"/>
      <c r="N35" s="167"/>
      <c r="O35" s="167"/>
      <c r="P35" s="167"/>
      <c r="Q35" s="311"/>
      <c r="R35" s="311"/>
      <c r="S35" s="311"/>
      <c r="T35" s="311"/>
      <c r="U35" s="311"/>
    </row>
    <row r="36" spans="1:21">
      <c r="A36" s="170"/>
      <c r="B36" s="60"/>
      <c r="C36" s="171"/>
      <c r="D36" s="172"/>
      <c r="E36" s="171"/>
      <c r="F36" s="173"/>
      <c r="G36" s="174"/>
      <c r="H36" s="174"/>
      <c r="I36" s="174"/>
      <c r="J36" s="61"/>
      <c r="K36" s="61"/>
      <c r="L36" s="225"/>
      <c r="M36" s="225"/>
      <c r="N36" s="225"/>
      <c r="O36" s="225"/>
      <c r="P36" s="225"/>
      <c r="Q36" s="341"/>
      <c r="R36" s="341"/>
      <c r="S36" s="341"/>
      <c r="T36" s="341"/>
      <c r="U36" s="341"/>
    </row>
    <row r="37" spans="1:21">
      <c r="A37" s="66"/>
      <c r="B37" s="66"/>
      <c r="C37" s="65"/>
      <c r="D37" s="65"/>
      <c r="E37" s="65"/>
      <c r="F37" s="67"/>
      <c r="G37" s="65"/>
      <c r="H37" s="68"/>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85" customWidth="1"/>
    <col min="2" max="2" width="25.7109375" style="85" customWidth="1"/>
    <col min="3" max="8" width="10.7109375" style="78" bestFit="1" customWidth="1"/>
    <col min="9" max="10" width="14.7109375" style="78" customWidth="1"/>
    <col min="11" max="14" width="11.42578125" style="78"/>
    <col min="15" max="15" width="11.28515625" style="78" customWidth="1"/>
    <col min="16" max="16" width="13.140625" style="78" customWidth="1"/>
    <col min="17" max="21" width="15.42578125" style="78" bestFit="1" customWidth="1"/>
    <col min="22" max="16384" width="11.42578125" style="78"/>
  </cols>
  <sheetData>
    <row r="1" spans="1:21">
      <c r="A1" s="187" t="s">
        <v>0</v>
      </c>
      <c r="B1" s="12" t="s">
        <v>1</v>
      </c>
      <c r="C1" s="1">
        <v>2000</v>
      </c>
      <c r="D1" s="1">
        <v>2001</v>
      </c>
      <c r="E1" s="1">
        <v>2002</v>
      </c>
      <c r="F1" s="1">
        <v>2003</v>
      </c>
      <c r="G1" s="1">
        <v>2004</v>
      </c>
      <c r="H1" s="1">
        <v>2005</v>
      </c>
      <c r="I1" s="1">
        <v>2006</v>
      </c>
      <c r="J1" s="1">
        <v>2007</v>
      </c>
      <c r="K1" s="1">
        <v>2008</v>
      </c>
      <c r="L1" s="194">
        <v>2009</v>
      </c>
      <c r="M1" s="194">
        <v>2010</v>
      </c>
      <c r="N1" s="194">
        <v>2011</v>
      </c>
      <c r="O1" s="194">
        <v>2012</v>
      </c>
      <c r="P1" s="194">
        <v>2013</v>
      </c>
      <c r="Q1" s="344">
        <v>2014</v>
      </c>
      <c r="R1" s="344">
        <v>2015</v>
      </c>
      <c r="S1" s="344">
        <v>2016</v>
      </c>
      <c r="T1" s="344">
        <v>2017</v>
      </c>
      <c r="U1" s="344">
        <v>2018</v>
      </c>
    </row>
    <row r="2" spans="1:21">
      <c r="A2" s="7" t="s">
        <v>3</v>
      </c>
      <c r="B2" s="8" t="s">
        <v>28</v>
      </c>
      <c r="C2" s="79"/>
      <c r="D2" s="79"/>
      <c r="E2" s="79"/>
      <c r="F2" s="79"/>
      <c r="G2" s="79"/>
      <c r="H2" s="79"/>
      <c r="I2" s="79"/>
      <c r="J2" s="79"/>
      <c r="K2" s="79"/>
      <c r="L2" s="297" t="s">
        <v>87</v>
      </c>
      <c r="M2" s="297" t="s">
        <v>87</v>
      </c>
      <c r="N2" s="297" t="s">
        <v>87</v>
      </c>
      <c r="O2" s="297" t="s">
        <v>87</v>
      </c>
      <c r="P2" s="297" t="s">
        <v>87</v>
      </c>
      <c r="Q2" s="345" t="s">
        <v>87</v>
      </c>
      <c r="R2" s="345" t="s">
        <v>87</v>
      </c>
      <c r="S2" s="345" t="s">
        <v>87</v>
      </c>
      <c r="T2" s="345" t="s">
        <v>87</v>
      </c>
      <c r="U2" s="345" t="s">
        <v>87</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11674447</v>
      </c>
      <c r="D4" s="228">
        <f t="shared" si="0"/>
        <v>11966758</v>
      </c>
      <c r="E4" s="228">
        <f t="shared" si="0"/>
        <v>11981971</v>
      </c>
      <c r="F4" s="228">
        <f t="shared" si="0"/>
        <v>11614514</v>
      </c>
      <c r="G4" s="228">
        <f t="shared" si="0"/>
        <v>11584393</v>
      </c>
      <c r="H4" s="228">
        <f t="shared" si="0"/>
        <v>12367608.099999998</v>
      </c>
      <c r="I4" s="198">
        <f t="shared" ref="I4:O4" si="1">I6+I11+I16+I18</f>
        <v>12094658</v>
      </c>
      <c r="J4" s="198">
        <f t="shared" si="1"/>
        <v>11936093</v>
      </c>
      <c r="K4" s="198">
        <f t="shared" si="1"/>
        <v>11609997</v>
      </c>
      <c r="L4" s="198">
        <f t="shared" si="1"/>
        <v>18931672.701370001</v>
      </c>
      <c r="M4" s="198">
        <f t="shared" si="1"/>
        <v>19239188</v>
      </c>
      <c r="N4" s="198">
        <f t="shared" si="1"/>
        <v>16798380.562890001</v>
      </c>
      <c r="O4" s="198">
        <f t="shared" si="1"/>
        <v>21220190.719999999</v>
      </c>
      <c r="P4" s="198">
        <f t="shared" ref="P4:Q4" si="2">P6+P11+P16+P18</f>
        <v>20828716.384339999</v>
      </c>
      <c r="Q4" s="13">
        <f t="shared" si="2"/>
        <v>21361316.977360003</v>
      </c>
      <c r="R4" s="13">
        <f t="shared" ref="R4" si="3">R6+R11+R16+R18</f>
        <v>20380068.476089999</v>
      </c>
      <c r="S4" s="13">
        <f t="shared" ref="S4:T4" si="4">S6+S11+S16+S18</f>
        <v>20442164.353699997</v>
      </c>
      <c r="T4" s="13">
        <f t="shared" si="4"/>
        <v>20743044.006420001</v>
      </c>
      <c r="U4" s="13">
        <f t="shared" ref="U4" si="5">U6+U11+U16+U18</f>
        <v>21820308.396250002</v>
      </c>
    </row>
    <row r="5" spans="1:21">
      <c r="A5" s="14"/>
      <c r="B5" s="15"/>
      <c r="C5" s="229"/>
      <c r="D5" s="230"/>
      <c r="E5" s="229"/>
      <c r="F5" s="229"/>
      <c r="G5" s="27"/>
      <c r="H5" s="196"/>
      <c r="I5" s="196"/>
      <c r="J5" s="196"/>
      <c r="K5" s="196"/>
      <c r="L5" s="196"/>
      <c r="M5" s="196"/>
      <c r="N5" s="196"/>
      <c r="O5" s="196"/>
      <c r="P5" s="196"/>
      <c r="Q5" s="18"/>
      <c r="R5" s="18"/>
      <c r="S5" s="18"/>
      <c r="T5" s="18"/>
      <c r="U5" s="18"/>
    </row>
    <row r="6" spans="1:21">
      <c r="A6" s="19">
        <v>10</v>
      </c>
      <c r="B6" s="12" t="s">
        <v>6</v>
      </c>
      <c r="C6" s="198">
        <f t="shared" ref="C6:H6" si="6">SUM(C7:C9)</f>
        <v>4220694</v>
      </c>
      <c r="D6" s="198">
        <f t="shared" si="6"/>
        <v>4842611</v>
      </c>
      <c r="E6" s="198">
        <f t="shared" si="6"/>
        <v>4981532</v>
      </c>
      <c r="F6" s="198">
        <f t="shared" si="6"/>
        <v>4658150</v>
      </c>
      <c r="G6" s="198">
        <f t="shared" si="6"/>
        <v>4514251</v>
      </c>
      <c r="H6" s="198">
        <f t="shared" si="6"/>
        <v>5138849.0999999996</v>
      </c>
      <c r="I6" s="198">
        <f>SUM(I7:I9)</f>
        <v>4678022</v>
      </c>
      <c r="J6" s="198">
        <f>SUM(J7:J9)</f>
        <v>4487135</v>
      </c>
      <c r="K6" s="198">
        <f t="shared" ref="K6:P6" si="7">K7+K8+K9</f>
        <v>3968022</v>
      </c>
      <c r="L6" s="198">
        <f t="shared" si="7"/>
        <v>5424626</v>
      </c>
      <c r="M6" s="198">
        <f t="shared" si="7"/>
        <v>5613828</v>
      </c>
      <c r="N6" s="198">
        <f t="shared" si="7"/>
        <v>3146227.1628900003</v>
      </c>
      <c r="O6" s="198">
        <f t="shared" si="7"/>
        <v>7703314.4699999997</v>
      </c>
      <c r="P6" s="198">
        <f t="shared" si="7"/>
        <v>6590996.6641600002</v>
      </c>
      <c r="Q6" s="13">
        <f>Q7+Q8+Q9</f>
        <v>7297938.6374900006</v>
      </c>
      <c r="R6" s="13">
        <f>R7+R8+R9</f>
        <v>5896743.7859000005</v>
      </c>
      <c r="S6" s="13">
        <f>S7+S8+S9</f>
        <v>6187562.5963000003</v>
      </c>
      <c r="T6" s="13">
        <f>T7+T8+T9</f>
        <v>6354703.8820799999</v>
      </c>
      <c r="U6" s="13">
        <f>U7+U8+U9</f>
        <v>7051908.9680700004</v>
      </c>
    </row>
    <row r="7" spans="1:21">
      <c r="A7" s="20" t="s">
        <v>7</v>
      </c>
      <c r="B7" s="21" t="s">
        <v>8</v>
      </c>
      <c r="C7" s="231">
        <f>161750+3141598</f>
        <v>3303348</v>
      </c>
      <c r="D7" s="231">
        <f>189789+3707674</f>
        <v>3897463</v>
      </c>
      <c r="E7" s="231">
        <f>290969+3471252</f>
        <v>3762221</v>
      </c>
      <c r="F7" s="231">
        <f>360781+3179803</f>
        <v>3540584</v>
      </c>
      <c r="G7" s="231">
        <f>326219+3054094+1</f>
        <v>3380314</v>
      </c>
      <c r="H7" s="231">
        <f>265273.7+3853905.9</f>
        <v>4119179.6</v>
      </c>
      <c r="I7" s="231">
        <f>ROUND(238011.0451+3829496.08642,0)</f>
        <v>4067507</v>
      </c>
      <c r="J7" s="231">
        <f>168757+3715526</f>
        <v>3884283</v>
      </c>
      <c r="K7" s="231">
        <f>210824+2995965</f>
        <v>3206789</v>
      </c>
      <c r="L7" s="196">
        <v>3746357</v>
      </c>
      <c r="M7" s="196">
        <v>3803986</v>
      </c>
      <c r="N7" s="298">
        <v>1252114.66289</v>
      </c>
      <c r="O7" s="298">
        <v>5495491.5</v>
      </c>
      <c r="P7" s="298">
        <v>4474991.9730000002</v>
      </c>
      <c r="Q7" s="302">
        <v>5450093.0767999999</v>
      </c>
      <c r="R7" s="302">
        <v>3658822.5754200001</v>
      </c>
      <c r="S7" s="302">
        <v>3912319.3984099999</v>
      </c>
      <c r="T7" s="302">
        <v>3901015.1811799998</v>
      </c>
      <c r="U7" s="302">
        <v>4572123.3890200006</v>
      </c>
    </row>
    <row r="8" spans="1:21">
      <c r="A8" s="25">
        <v>102</v>
      </c>
      <c r="B8" s="26" t="s">
        <v>9</v>
      </c>
      <c r="C8" s="231">
        <v>852218</v>
      </c>
      <c r="D8" s="231">
        <v>783962</v>
      </c>
      <c r="E8" s="231">
        <v>1053023</v>
      </c>
      <c r="F8" s="231">
        <v>972538</v>
      </c>
      <c r="G8" s="231">
        <f>977890</f>
        <v>977890</v>
      </c>
      <c r="H8" s="231">
        <v>906042</v>
      </c>
      <c r="I8" s="231">
        <f>ROUND(469292.35972,0)</f>
        <v>469292</v>
      </c>
      <c r="J8" s="231">
        <v>476155</v>
      </c>
      <c r="K8" s="231">
        <f>558826</f>
        <v>558826</v>
      </c>
      <c r="L8" s="199">
        <v>1316037</v>
      </c>
      <c r="M8" s="199">
        <v>1337346</v>
      </c>
      <c r="N8" s="300">
        <v>1392351.4000000001</v>
      </c>
      <c r="O8" s="300">
        <v>1552933.18</v>
      </c>
      <c r="P8" s="300">
        <v>1544721.9841700001</v>
      </c>
      <c r="Q8" s="302">
        <v>1308259.5521199999</v>
      </c>
      <c r="R8" s="302">
        <v>1298319.04746</v>
      </c>
      <c r="S8" s="302">
        <v>1436839.7052899997</v>
      </c>
      <c r="T8" s="302">
        <v>1437507.61042</v>
      </c>
      <c r="U8" s="302">
        <v>1436056.0729500002</v>
      </c>
    </row>
    <row r="9" spans="1:21">
      <c r="A9" s="25">
        <v>103</v>
      </c>
      <c r="B9" s="26" t="s">
        <v>10</v>
      </c>
      <c r="C9" s="231">
        <v>65128</v>
      </c>
      <c r="D9" s="231">
        <v>161186</v>
      </c>
      <c r="E9" s="231">
        <v>166288</v>
      </c>
      <c r="F9" s="231">
        <v>145028</v>
      </c>
      <c r="G9" s="231">
        <v>156047</v>
      </c>
      <c r="H9" s="231">
        <v>113627.5</v>
      </c>
      <c r="I9" s="231">
        <f>ROUND(141223.39886,0)</f>
        <v>141223</v>
      </c>
      <c r="J9" s="231">
        <v>126697</v>
      </c>
      <c r="K9" s="231">
        <v>202407</v>
      </c>
      <c r="L9" s="196">
        <v>362232</v>
      </c>
      <c r="M9" s="196">
        <v>472496</v>
      </c>
      <c r="N9" s="298">
        <v>501761.1</v>
      </c>
      <c r="O9" s="298">
        <v>654889.79</v>
      </c>
      <c r="P9" s="298">
        <v>571282.70698999998</v>
      </c>
      <c r="Q9" s="302">
        <v>539586.00857000006</v>
      </c>
      <c r="R9" s="302">
        <v>939602.16301999998</v>
      </c>
      <c r="S9" s="302">
        <v>838403.4926</v>
      </c>
      <c r="T9" s="302">
        <v>1016181.09048</v>
      </c>
      <c r="U9" s="302">
        <v>1043729.5061</v>
      </c>
    </row>
    <row r="10" spans="1:21">
      <c r="A10" s="28"/>
      <c r="B10" s="29"/>
      <c r="C10" s="232"/>
      <c r="D10" s="233"/>
      <c r="E10" s="232"/>
      <c r="F10" s="232"/>
      <c r="G10" s="27"/>
      <c r="H10" s="196"/>
      <c r="I10" s="196"/>
      <c r="J10" s="196"/>
      <c r="K10" s="196"/>
      <c r="L10" s="196"/>
      <c r="M10" s="196"/>
      <c r="N10" s="196"/>
      <c r="O10" s="196"/>
      <c r="P10" s="196"/>
      <c r="Q10" s="18"/>
      <c r="R10" s="18"/>
      <c r="S10" s="18"/>
      <c r="T10" s="18"/>
      <c r="U10" s="18"/>
    </row>
    <row r="11" spans="1:21">
      <c r="A11" s="19">
        <v>11</v>
      </c>
      <c r="B11" s="12" t="s">
        <v>11</v>
      </c>
      <c r="C11" s="198">
        <f t="shared" ref="C11:H11" si="8">SUM(C12:C14)</f>
        <v>7453753</v>
      </c>
      <c r="D11" s="198">
        <f t="shared" si="8"/>
        <v>7124147</v>
      </c>
      <c r="E11" s="198">
        <f t="shared" si="8"/>
        <v>7000439</v>
      </c>
      <c r="F11" s="198">
        <f t="shared" si="8"/>
        <v>6956364</v>
      </c>
      <c r="G11" s="198">
        <f t="shared" si="8"/>
        <v>7070142</v>
      </c>
      <c r="H11" s="198">
        <f t="shared" si="8"/>
        <v>7228758.9999999991</v>
      </c>
      <c r="I11" s="198">
        <f>SUM(I12:I14)</f>
        <v>7416636</v>
      </c>
      <c r="J11" s="198">
        <f>SUM(J12:J14)</f>
        <v>7448958</v>
      </c>
      <c r="K11" s="198">
        <f t="shared" ref="K11:Q11" si="9">K12+K13+K14</f>
        <v>7641975</v>
      </c>
      <c r="L11" s="198">
        <f t="shared" si="9"/>
        <v>13507046.701370001</v>
      </c>
      <c r="M11" s="198">
        <f t="shared" si="9"/>
        <v>13625360</v>
      </c>
      <c r="N11" s="198">
        <f t="shared" si="9"/>
        <v>13652153.4</v>
      </c>
      <c r="O11" s="198">
        <f t="shared" si="9"/>
        <v>13516876.25</v>
      </c>
      <c r="P11" s="198">
        <f t="shared" si="9"/>
        <v>14237719.720179999</v>
      </c>
      <c r="Q11" s="13">
        <f t="shared" si="9"/>
        <v>14063378.33987</v>
      </c>
      <c r="R11" s="13">
        <f t="shared" ref="R11" si="10">R12+R13+R14</f>
        <v>14483324.69019</v>
      </c>
      <c r="S11" s="13">
        <f t="shared" ref="S11:T11" si="11">S12+S13+S14</f>
        <v>14254601.757399999</v>
      </c>
      <c r="T11" s="13">
        <f t="shared" si="11"/>
        <v>14388340.12434</v>
      </c>
      <c r="U11" s="13">
        <f t="shared" ref="U11" si="12">U12+U13+U14</f>
        <v>14768399.428180002</v>
      </c>
    </row>
    <row r="12" spans="1:21">
      <c r="A12" s="32">
        <v>114</v>
      </c>
      <c r="B12" s="21" t="s">
        <v>12</v>
      </c>
      <c r="C12" s="231">
        <v>3467154</v>
      </c>
      <c r="D12" s="231">
        <v>3557875</v>
      </c>
      <c r="E12" s="231">
        <v>3594371</v>
      </c>
      <c r="F12" s="231">
        <v>3590638</v>
      </c>
      <c r="G12" s="231">
        <v>3688785</v>
      </c>
      <c r="H12" s="231">
        <v>3859168.3</v>
      </c>
      <c r="I12" s="231">
        <v>3954699</v>
      </c>
      <c r="J12" s="231">
        <v>3853726</v>
      </c>
      <c r="K12" s="231">
        <v>3249297</v>
      </c>
      <c r="L12" s="196">
        <v>6890952.1738700001</v>
      </c>
      <c r="M12" s="196">
        <v>6879939</v>
      </c>
      <c r="N12" s="298">
        <v>6924149.2999999998</v>
      </c>
      <c r="O12" s="298">
        <v>6934465.6499999994</v>
      </c>
      <c r="P12" s="298">
        <v>7792497.7369999997</v>
      </c>
      <c r="Q12" s="302">
        <v>8004174.4333999995</v>
      </c>
      <c r="R12" s="302">
        <v>7979670.0017100004</v>
      </c>
      <c r="S12" s="302">
        <v>8015224.1559899999</v>
      </c>
      <c r="T12" s="302">
        <v>8147853.6671099998</v>
      </c>
      <c r="U12" s="302">
        <v>8498710.1745500006</v>
      </c>
    </row>
    <row r="13" spans="1:21">
      <c r="A13" s="25">
        <v>115</v>
      </c>
      <c r="B13" s="26" t="s">
        <v>13</v>
      </c>
      <c r="C13" s="231">
        <v>2827189</v>
      </c>
      <c r="D13" s="231">
        <v>2437571</v>
      </c>
      <c r="E13" s="231">
        <v>2287684</v>
      </c>
      <c r="F13" s="231">
        <v>2226995</v>
      </c>
      <c r="G13" s="231">
        <v>2224874</v>
      </c>
      <c r="H13" s="231">
        <v>2168794.4</v>
      </c>
      <c r="I13" s="231">
        <f>ROUND(2183870.7,0)</f>
        <v>2183871</v>
      </c>
      <c r="J13" s="231">
        <v>2185346</v>
      </c>
      <c r="K13" s="231">
        <v>2187129</v>
      </c>
      <c r="L13" s="199">
        <v>3381738.5274999999</v>
      </c>
      <c r="M13" s="199">
        <v>3431391</v>
      </c>
      <c r="N13" s="300">
        <v>3398798.1</v>
      </c>
      <c r="O13" s="300">
        <v>3999462.9000000004</v>
      </c>
      <c r="P13" s="300">
        <v>3815069.2990600001</v>
      </c>
      <c r="Q13" s="302">
        <v>3393100.4284600001</v>
      </c>
      <c r="R13" s="302">
        <v>3819567.6696100002</v>
      </c>
      <c r="S13" s="302">
        <v>3556402.2699199999</v>
      </c>
      <c r="T13" s="302">
        <v>3512890.3068300001</v>
      </c>
      <c r="U13" s="302">
        <v>3485561.4438700001</v>
      </c>
    </row>
    <row r="14" spans="1:21">
      <c r="A14" s="33" t="s">
        <v>14</v>
      </c>
      <c r="B14" s="34" t="s">
        <v>15</v>
      </c>
      <c r="C14" s="231">
        <f>1135413+23997</f>
        <v>1159410</v>
      </c>
      <c r="D14" s="231">
        <f>1109578+19123</f>
        <v>1128701</v>
      </c>
      <c r="E14" s="231">
        <f>1102130+16254</f>
        <v>1118384</v>
      </c>
      <c r="F14" s="231">
        <f>1120653+18078</f>
        <v>1138731</v>
      </c>
      <c r="G14" s="231">
        <f>1139004+17479</f>
        <v>1156483</v>
      </c>
      <c r="H14" s="231">
        <f>1185374.1+15422.2</f>
        <v>1200796.3</v>
      </c>
      <c r="I14" s="231">
        <f>ROUND(1263407.8+14658.2,0)</f>
        <v>1278066</v>
      </c>
      <c r="J14" s="231">
        <f>1396986+12900</f>
        <v>1409886</v>
      </c>
      <c r="K14" s="231">
        <f>2194237+11312</f>
        <v>2205549</v>
      </c>
      <c r="L14" s="196">
        <v>3234356</v>
      </c>
      <c r="M14" s="196">
        <v>3314030</v>
      </c>
      <c r="N14" s="298">
        <v>3329206</v>
      </c>
      <c r="O14" s="298">
        <v>2582947.7000000002</v>
      </c>
      <c r="P14" s="298">
        <v>2630152.6841199999</v>
      </c>
      <c r="Q14" s="302">
        <v>2666103.4780100002</v>
      </c>
      <c r="R14" s="302">
        <v>2684087.0188699998</v>
      </c>
      <c r="S14" s="302">
        <v>2682975.3314899998</v>
      </c>
      <c r="T14" s="302">
        <v>2727596.1504000002</v>
      </c>
      <c r="U14" s="302">
        <v>2784127.8097600001</v>
      </c>
    </row>
    <row r="15" spans="1:21">
      <c r="A15" s="35"/>
      <c r="B15" s="36"/>
      <c r="C15" s="232"/>
      <c r="D15" s="233"/>
      <c r="E15" s="232"/>
      <c r="F15" s="232"/>
      <c r="G15" s="27"/>
      <c r="H15" s="200"/>
      <c r="I15" s="234"/>
      <c r="J15" s="234"/>
      <c r="K15" s="234"/>
      <c r="L15" s="200"/>
      <c r="M15" s="200"/>
      <c r="N15" s="305"/>
      <c r="O15" s="305"/>
      <c r="P15" s="305"/>
      <c r="Q15" s="308"/>
      <c r="R15" s="308"/>
      <c r="S15" s="308"/>
      <c r="T15" s="308"/>
      <c r="U15" s="308"/>
    </row>
    <row r="16" spans="1:21">
      <c r="A16" s="11">
        <v>12</v>
      </c>
      <c r="B16" s="38" t="s">
        <v>16</v>
      </c>
      <c r="C16" s="198">
        <v>0</v>
      </c>
      <c r="D16" s="198">
        <v>0</v>
      </c>
      <c r="E16" s="198">
        <v>0</v>
      </c>
      <c r="F16" s="198">
        <v>0</v>
      </c>
      <c r="G16" s="198">
        <v>0</v>
      </c>
      <c r="H16" s="198">
        <v>0</v>
      </c>
      <c r="I16" s="198">
        <v>0</v>
      </c>
      <c r="J16" s="198">
        <v>0</v>
      </c>
      <c r="K16" s="198">
        <v>0</v>
      </c>
      <c r="L16" s="198">
        <v>0</v>
      </c>
      <c r="M16" s="198">
        <v>0</v>
      </c>
      <c r="N16" s="313">
        <v>0</v>
      </c>
      <c r="O16" s="313">
        <v>0</v>
      </c>
      <c r="P16" s="313">
        <v>0</v>
      </c>
      <c r="Q16" s="309">
        <v>0</v>
      </c>
      <c r="R16" s="309">
        <v>0</v>
      </c>
      <c r="S16" s="309">
        <v>0</v>
      </c>
      <c r="T16" s="309">
        <v>0</v>
      </c>
      <c r="U16" s="309">
        <v>0</v>
      </c>
    </row>
    <row r="17" spans="1:21">
      <c r="A17" s="39"/>
      <c r="B17" s="40"/>
      <c r="C17" s="229"/>
      <c r="D17" s="230"/>
      <c r="E17" s="229"/>
      <c r="F17" s="229"/>
      <c r="G17" s="235"/>
      <c r="H17" s="196"/>
      <c r="I17" s="196"/>
      <c r="J17" s="196"/>
      <c r="K17" s="196"/>
      <c r="L17" s="196"/>
      <c r="M17" s="196"/>
      <c r="N17" s="298"/>
      <c r="O17" s="298"/>
      <c r="P17" s="298"/>
      <c r="Q17" s="311"/>
      <c r="R17" s="311"/>
      <c r="S17" s="311"/>
      <c r="T17" s="311"/>
      <c r="U17" s="311"/>
    </row>
    <row r="18" spans="1:21">
      <c r="A18" s="11">
        <v>13</v>
      </c>
      <c r="B18" s="38" t="s">
        <v>17</v>
      </c>
      <c r="C18" s="198">
        <v>0</v>
      </c>
      <c r="D18" s="198">
        <v>0</v>
      </c>
      <c r="E18" s="198">
        <v>0</v>
      </c>
      <c r="F18" s="198">
        <v>0</v>
      </c>
      <c r="G18" s="198">
        <v>0</v>
      </c>
      <c r="H18" s="198">
        <v>0</v>
      </c>
      <c r="I18" s="198">
        <v>0</v>
      </c>
      <c r="J18" s="198">
        <v>0</v>
      </c>
      <c r="K18" s="198">
        <v>0</v>
      </c>
      <c r="L18" s="198">
        <v>0</v>
      </c>
      <c r="M18" s="198">
        <v>0</v>
      </c>
      <c r="N18" s="313">
        <v>0</v>
      </c>
      <c r="O18" s="313">
        <v>0</v>
      </c>
      <c r="P18" s="313">
        <v>0</v>
      </c>
      <c r="Q18" s="309">
        <v>0</v>
      </c>
      <c r="R18" s="309">
        <v>0</v>
      </c>
      <c r="S18" s="309">
        <v>0</v>
      </c>
      <c r="T18" s="309">
        <v>0</v>
      </c>
      <c r="U18" s="309">
        <v>0</v>
      </c>
    </row>
    <row r="19" spans="1:21">
      <c r="A19" s="41"/>
      <c r="B19" s="42"/>
      <c r="C19" s="236"/>
      <c r="D19" s="237"/>
      <c r="E19" s="236"/>
      <c r="F19" s="236"/>
      <c r="G19" s="24"/>
      <c r="H19" s="196"/>
      <c r="I19" s="196"/>
      <c r="J19" s="196"/>
      <c r="K19" s="196"/>
      <c r="L19" s="196"/>
      <c r="M19" s="196"/>
      <c r="N19" s="298"/>
      <c r="O19" s="298"/>
      <c r="P19" s="298"/>
      <c r="Q19" s="311"/>
      <c r="R19" s="311"/>
      <c r="S19" s="311"/>
      <c r="T19" s="311"/>
      <c r="U19" s="311"/>
    </row>
    <row r="20" spans="1:21">
      <c r="A20" s="43"/>
      <c r="B20" s="36"/>
      <c r="C20" s="232"/>
      <c r="D20" s="233"/>
      <c r="E20" s="232"/>
      <c r="F20" s="232"/>
      <c r="G20" s="238"/>
      <c r="H20" s="200"/>
      <c r="I20" s="234"/>
      <c r="J20" s="234"/>
      <c r="K20" s="234"/>
      <c r="L20" s="200"/>
      <c r="M20" s="200"/>
      <c r="N20" s="305"/>
      <c r="O20" s="305"/>
      <c r="P20" s="305"/>
      <c r="Q20" s="308"/>
      <c r="R20" s="308"/>
      <c r="S20" s="308"/>
      <c r="T20" s="308"/>
      <c r="U20" s="308"/>
    </row>
    <row r="21" spans="1:21">
      <c r="A21" s="11">
        <v>2</v>
      </c>
      <c r="B21" s="38" t="s">
        <v>18</v>
      </c>
      <c r="C21" s="198">
        <f t="shared" ref="C21:H21" si="13">C23+C28+C30+C32+C34</f>
        <v>11674447</v>
      </c>
      <c r="D21" s="198">
        <f t="shared" si="13"/>
        <v>11966758</v>
      </c>
      <c r="E21" s="198">
        <f t="shared" si="13"/>
        <v>11981971</v>
      </c>
      <c r="F21" s="198">
        <f t="shared" si="13"/>
        <v>11614514</v>
      </c>
      <c r="G21" s="198">
        <f t="shared" si="13"/>
        <v>11584393</v>
      </c>
      <c r="H21" s="198">
        <f t="shared" si="13"/>
        <v>12367608</v>
      </c>
      <c r="I21" s="198">
        <f t="shared" ref="I21:M21" si="14">I23+I28+I30+I32+I34</f>
        <v>12094658</v>
      </c>
      <c r="J21" s="198">
        <f t="shared" si="14"/>
        <v>11936093</v>
      </c>
      <c r="K21" s="198">
        <f t="shared" si="14"/>
        <v>11609997</v>
      </c>
      <c r="L21" s="198">
        <f t="shared" ref="L21" si="15">L23+L28+L30+L32+L34</f>
        <v>18931672.900250003</v>
      </c>
      <c r="M21" s="198">
        <f t="shared" si="14"/>
        <v>19239188</v>
      </c>
      <c r="N21" s="198">
        <f>N23+N28+N30+N32+N34</f>
        <v>19894323.708000001</v>
      </c>
      <c r="O21" s="198">
        <f>O23+O28+O30+O32+O34</f>
        <v>21220190.408</v>
      </c>
      <c r="P21" s="198">
        <f>P23+P28+P30+P32+P34</f>
        <v>20828716.384089999</v>
      </c>
      <c r="Q21" s="13">
        <f t="shared" ref="Q21:R21" si="16">Q23+Q28+Q30+Q32+Q34</f>
        <v>21361316.977360003</v>
      </c>
      <c r="R21" s="13">
        <f t="shared" si="16"/>
        <v>20380068.476090003</v>
      </c>
      <c r="S21" s="13">
        <f t="shared" ref="S21:T21" si="17">S23+S28+S30+S32+S34</f>
        <v>20442164.353699997</v>
      </c>
      <c r="T21" s="13">
        <f t="shared" si="17"/>
        <v>20743044.006420001</v>
      </c>
      <c r="U21" s="13">
        <f t="shared" ref="U21" si="18">U23+U28+U30+U32+U34</f>
        <v>21820308.396250002</v>
      </c>
    </row>
    <row r="22" spans="1:21">
      <c r="A22" s="44"/>
      <c r="B22" s="45"/>
      <c r="C22" s="229"/>
      <c r="D22" s="230"/>
      <c r="E22" s="229"/>
      <c r="F22" s="229"/>
      <c r="G22" s="24"/>
      <c r="H22" s="196"/>
      <c r="I22" s="196"/>
      <c r="J22" s="196"/>
      <c r="K22" s="196"/>
      <c r="L22" s="196"/>
      <c r="M22" s="196"/>
      <c r="N22" s="196"/>
      <c r="O22" s="196"/>
      <c r="P22" s="196"/>
      <c r="Q22" s="18"/>
      <c r="R22" s="18"/>
      <c r="S22" s="18"/>
      <c r="T22" s="18"/>
      <c r="U22" s="18"/>
    </row>
    <row r="23" spans="1:21">
      <c r="A23" s="46">
        <v>20</v>
      </c>
      <c r="B23" s="47" t="s">
        <v>19</v>
      </c>
      <c r="C23" s="198">
        <f t="shared" ref="C23:H23" si="19">C24+C25+C26</f>
        <v>9455628</v>
      </c>
      <c r="D23" s="198">
        <f t="shared" si="19"/>
        <v>9400875</v>
      </c>
      <c r="E23" s="198">
        <f t="shared" si="19"/>
        <v>9250791</v>
      </c>
      <c r="F23" s="198">
        <f t="shared" si="19"/>
        <v>9070893</v>
      </c>
      <c r="G23" s="198">
        <f t="shared" si="19"/>
        <v>9400673</v>
      </c>
      <c r="H23" s="198">
        <f t="shared" si="19"/>
        <v>8882815</v>
      </c>
      <c r="I23" s="198">
        <f t="shared" ref="I23:M23" si="20">I24+I25+I26</f>
        <v>8500463</v>
      </c>
      <c r="J23" s="198">
        <f t="shared" si="20"/>
        <v>7630389</v>
      </c>
      <c r="K23" s="198">
        <f t="shared" si="20"/>
        <v>6766289</v>
      </c>
      <c r="L23" s="198">
        <f t="shared" ref="L23" si="21">L24+L25+L26</f>
        <v>7735808.9002500009</v>
      </c>
      <c r="M23" s="198">
        <f t="shared" si="20"/>
        <v>7354436</v>
      </c>
      <c r="N23" s="198">
        <f>N24+N25+N26</f>
        <v>7041160.9080000008</v>
      </c>
      <c r="O23" s="198">
        <f>O24+O25+O26</f>
        <v>8259071.9780000001</v>
      </c>
      <c r="P23" s="198">
        <f>P24+P25+P26</f>
        <v>9783219.7264299989</v>
      </c>
      <c r="Q23" s="13">
        <f t="shared" ref="Q23:R23" si="22">Q24+Q25+Q26</f>
        <v>10939092.65085</v>
      </c>
      <c r="R23" s="13">
        <f t="shared" si="22"/>
        <v>10003796.842100002</v>
      </c>
      <c r="S23" s="13">
        <f t="shared" ref="S23:T23" si="23">S24+S25+S26</f>
        <v>9839606.8887000009</v>
      </c>
      <c r="T23" s="13">
        <f t="shared" si="23"/>
        <v>9988419.2740199994</v>
      </c>
      <c r="U23" s="13">
        <f t="shared" ref="U23" si="24">U24+U25+U26</f>
        <v>10636261.720070001</v>
      </c>
    </row>
    <row r="24" spans="1:21">
      <c r="A24" s="48" t="s">
        <v>20</v>
      </c>
      <c r="B24" s="49" t="s">
        <v>21</v>
      </c>
      <c r="C24" s="231">
        <f>993853+6103</f>
        <v>999956</v>
      </c>
      <c r="D24" s="231">
        <f>1138521+6103</f>
        <v>1144624</v>
      </c>
      <c r="E24" s="231">
        <f>1352656+6103</f>
        <v>1358759</v>
      </c>
      <c r="F24" s="231">
        <f>1379448+7466</f>
        <v>1386914</v>
      </c>
      <c r="G24" s="231">
        <f>1338051+3</f>
        <v>1338054</v>
      </c>
      <c r="H24" s="231">
        <v>1196075</v>
      </c>
      <c r="I24" s="231">
        <f>ROUND(1330332.79949+50.62008,0)</f>
        <v>1330383</v>
      </c>
      <c r="J24" s="231">
        <f>1384378+-5</f>
        <v>1384373</v>
      </c>
      <c r="K24" s="231">
        <f>1302227</f>
        <v>1302227</v>
      </c>
      <c r="L24" s="196">
        <v>2750448.1247800002</v>
      </c>
      <c r="M24" s="196">
        <v>2208594</v>
      </c>
      <c r="N24" s="298">
        <v>1612771.4080000001</v>
      </c>
      <c r="O24" s="298">
        <v>2432875.84</v>
      </c>
      <c r="P24" s="298">
        <v>3123344.9407799998</v>
      </c>
      <c r="Q24" s="302">
        <v>2790493.0437799999</v>
      </c>
      <c r="R24" s="302">
        <v>2462753.5325099998</v>
      </c>
      <c r="S24" s="302">
        <v>3387032.26076</v>
      </c>
      <c r="T24" s="302">
        <v>3393227.93188</v>
      </c>
      <c r="U24" s="302">
        <v>3749534.6363399997</v>
      </c>
    </row>
    <row r="25" spans="1:21">
      <c r="A25" s="50">
        <v>202</v>
      </c>
      <c r="B25" s="51" t="s">
        <v>22</v>
      </c>
      <c r="C25" s="231">
        <v>8101914</v>
      </c>
      <c r="D25" s="231">
        <v>7698905</v>
      </c>
      <c r="E25" s="231">
        <v>7225300</v>
      </c>
      <c r="F25" s="231">
        <v>7119300</v>
      </c>
      <c r="G25" s="231">
        <v>7464900</v>
      </c>
      <c r="H25" s="231">
        <v>7094900</v>
      </c>
      <c r="I25" s="231">
        <v>6544900</v>
      </c>
      <c r="J25" s="231">
        <v>5631500</v>
      </c>
      <c r="K25" s="231">
        <v>4696500</v>
      </c>
      <c r="L25" s="199">
        <v>3368842.7754700002</v>
      </c>
      <c r="M25" s="199">
        <v>3532008</v>
      </c>
      <c r="N25" s="300">
        <v>3505785.5000000005</v>
      </c>
      <c r="O25" s="300">
        <v>3826817.4380000001</v>
      </c>
      <c r="P25" s="300">
        <v>5070657.6646499997</v>
      </c>
      <c r="Q25" s="302">
        <v>6275783.9283599993</v>
      </c>
      <c r="R25" s="302">
        <v>5730290.0934700007</v>
      </c>
      <c r="S25" s="302">
        <v>4576401.0628500003</v>
      </c>
      <c r="T25" s="302">
        <v>4573476.1897</v>
      </c>
      <c r="U25" s="302">
        <v>4959009.6367899999</v>
      </c>
    </row>
    <row r="26" spans="1:21">
      <c r="A26" s="50">
        <v>205</v>
      </c>
      <c r="B26" s="52" t="s">
        <v>23</v>
      </c>
      <c r="C26" s="231">
        <v>353758</v>
      </c>
      <c r="D26" s="231">
        <v>557346</v>
      </c>
      <c r="E26" s="231">
        <v>666732</v>
      </c>
      <c r="F26" s="231">
        <v>564679</v>
      </c>
      <c r="G26" s="231">
        <v>597719</v>
      </c>
      <c r="H26" s="231">
        <v>591840</v>
      </c>
      <c r="I26" s="231">
        <f>ROUND(625179.74967,0)</f>
        <v>625180</v>
      </c>
      <c r="J26" s="231">
        <v>614516</v>
      </c>
      <c r="K26" s="231">
        <v>767562</v>
      </c>
      <c r="L26" s="196">
        <v>1616518</v>
      </c>
      <c r="M26" s="196">
        <v>1613834</v>
      </c>
      <c r="N26" s="298">
        <v>1922604</v>
      </c>
      <c r="O26" s="298">
        <v>1999378.7</v>
      </c>
      <c r="P26" s="298">
        <v>1589217.121</v>
      </c>
      <c r="Q26" s="302">
        <v>1872815.6787100001</v>
      </c>
      <c r="R26" s="302">
        <v>1810753.21612</v>
      </c>
      <c r="S26" s="302">
        <v>1876173.5650899999</v>
      </c>
      <c r="T26" s="302">
        <v>2021715.1524400001</v>
      </c>
      <c r="U26" s="302">
        <v>1927717.4469400002</v>
      </c>
    </row>
    <row r="27" spans="1:21">
      <c r="A27" s="35"/>
      <c r="B27" s="36"/>
      <c r="C27" s="232"/>
      <c r="D27" s="233"/>
      <c r="E27" s="232"/>
      <c r="F27" s="232"/>
      <c r="G27" s="238"/>
      <c r="H27" s="200"/>
      <c r="I27" s="234"/>
      <c r="J27" s="234"/>
      <c r="K27" s="234"/>
      <c r="L27" s="200"/>
      <c r="M27" s="200"/>
      <c r="N27" s="305"/>
      <c r="O27" s="305"/>
      <c r="P27" s="305"/>
      <c r="Q27" s="308"/>
      <c r="R27" s="308"/>
      <c r="S27" s="308"/>
      <c r="T27" s="308"/>
      <c r="U27" s="308"/>
    </row>
    <row r="28" spans="1:21">
      <c r="A28" s="11">
        <v>23</v>
      </c>
      <c r="B28" s="38" t="s">
        <v>24</v>
      </c>
      <c r="C28" s="198">
        <v>452958</v>
      </c>
      <c r="D28" s="198">
        <v>449536</v>
      </c>
      <c r="E28" s="198">
        <v>407824</v>
      </c>
      <c r="F28" s="198">
        <v>703552</v>
      </c>
      <c r="G28" s="198">
        <v>596221</v>
      </c>
      <c r="H28" s="198">
        <v>419014</v>
      </c>
      <c r="I28" s="198">
        <f>ROUND(377633.06974,0)</f>
        <v>377633</v>
      </c>
      <c r="J28" s="198">
        <v>530292</v>
      </c>
      <c r="K28" s="198">
        <v>651502</v>
      </c>
      <c r="L28" s="198">
        <v>0</v>
      </c>
      <c r="M28" s="198">
        <v>0</v>
      </c>
      <c r="N28" s="313">
        <v>0</v>
      </c>
      <c r="O28" s="313">
        <v>0</v>
      </c>
      <c r="P28" s="313">
        <v>0</v>
      </c>
      <c r="Q28" s="309"/>
      <c r="R28" s="309"/>
      <c r="S28" s="309"/>
      <c r="T28" s="309"/>
      <c r="U28" s="309"/>
    </row>
    <row r="29" spans="1:21">
      <c r="A29" s="53"/>
      <c r="B29" s="40"/>
      <c r="C29" s="229"/>
      <c r="D29" s="230"/>
      <c r="E29" s="229"/>
      <c r="F29" s="229"/>
      <c r="G29" s="213"/>
      <c r="H29" s="196"/>
      <c r="I29" s="196"/>
      <c r="J29" s="196"/>
      <c r="K29" s="196"/>
      <c r="L29" s="196"/>
      <c r="M29" s="196"/>
      <c r="N29" s="298"/>
      <c r="O29" s="298"/>
      <c r="P29" s="298"/>
      <c r="Q29" s="311"/>
      <c r="R29" s="311"/>
      <c r="S29" s="311"/>
      <c r="T29" s="311"/>
      <c r="U29" s="311"/>
    </row>
    <row r="30" spans="1:21">
      <c r="A30" s="11">
        <v>24</v>
      </c>
      <c r="B30" s="38" t="s">
        <v>25</v>
      </c>
      <c r="C30" s="198">
        <v>314800</v>
      </c>
      <c r="D30" s="198">
        <v>195331</v>
      </c>
      <c r="E30" s="198">
        <v>74264</v>
      </c>
      <c r="F30" s="198">
        <v>70929</v>
      </c>
      <c r="G30" s="198">
        <v>67681</v>
      </c>
      <c r="H30" s="198">
        <v>59431</v>
      </c>
      <c r="I30" s="198">
        <f>ROUND(37891.96997,0)</f>
        <v>37892</v>
      </c>
      <c r="J30" s="198">
        <v>42955</v>
      </c>
      <c r="K30" s="198">
        <v>32213</v>
      </c>
      <c r="L30" s="198">
        <v>1302810</v>
      </c>
      <c r="M30" s="198">
        <v>1299896</v>
      </c>
      <c r="N30" s="313">
        <v>3922090</v>
      </c>
      <c r="O30" s="313">
        <v>3968936.8</v>
      </c>
      <c r="P30" s="313">
        <v>1743686.49349</v>
      </c>
      <c r="Q30" s="309">
        <v>1213489.5562199999</v>
      </c>
      <c r="R30" s="309">
        <v>1133970.8863000001</v>
      </c>
      <c r="S30" s="309">
        <v>1003702.8391700001</v>
      </c>
      <c r="T30" s="309">
        <v>935541.22714999993</v>
      </c>
      <c r="U30" s="309">
        <v>833763.15480000002</v>
      </c>
    </row>
    <row r="31" spans="1:21">
      <c r="A31" s="44"/>
      <c r="B31" s="45"/>
      <c r="C31" s="231"/>
      <c r="D31" s="230"/>
      <c r="E31" s="229"/>
      <c r="F31" s="229"/>
      <c r="G31" s="198"/>
      <c r="H31" s="196"/>
      <c r="I31" s="196"/>
      <c r="J31" s="196"/>
      <c r="K31" s="196"/>
      <c r="L31" s="196"/>
      <c r="M31" s="196"/>
      <c r="N31" s="298"/>
      <c r="O31" s="298"/>
      <c r="P31" s="298"/>
      <c r="Q31" s="311"/>
      <c r="R31" s="311"/>
      <c r="S31" s="311"/>
      <c r="T31" s="311"/>
      <c r="U31" s="311"/>
    </row>
    <row r="32" spans="1:21">
      <c r="A32" s="54">
        <v>28</v>
      </c>
      <c r="B32" s="47" t="s">
        <v>26</v>
      </c>
      <c r="C32" s="198">
        <v>156111</v>
      </c>
      <c r="D32" s="198">
        <v>452142</v>
      </c>
      <c r="E32" s="198">
        <v>528716</v>
      </c>
      <c r="F32" s="198">
        <v>665807</v>
      </c>
      <c r="G32" s="198">
        <v>823745</v>
      </c>
      <c r="H32" s="198">
        <v>999539</v>
      </c>
      <c r="I32" s="198">
        <f>ROUND(1041824.2155,0)</f>
        <v>1041824</v>
      </c>
      <c r="J32" s="198">
        <v>1172337</v>
      </c>
      <c r="K32" s="198">
        <v>1287010</v>
      </c>
      <c r="L32" s="198">
        <v>503221</v>
      </c>
      <c r="M32" s="198">
        <v>569765</v>
      </c>
      <c r="N32" s="313">
        <v>622487</v>
      </c>
      <c r="O32" s="313">
        <v>550428</v>
      </c>
      <c r="P32" s="313">
        <v>847860.19871999999</v>
      </c>
      <c r="Q32" s="309">
        <v>857686.49348000006</v>
      </c>
      <c r="R32" s="309">
        <v>864246.62891999993</v>
      </c>
      <c r="S32" s="309">
        <v>867901.08062000002</v>
      </c>
      <c r="T32" s="309">
        <v>866678.68425000005</v>
      </c>
      <c r="U32" s="309">
        <v>853583.78748000006</v>
      </c>
    </row>
    <row r="33" spans="1:21">
      <c r="A33" s="53"/>
      <c r="B33" s="40"/>
      <c r="C33" s="229"/>
      <c r="D33" s="230"/>
      <c r="E33" s="229"/>
      <c r="F33" s="229"/>
      <c r="G33" s="198"/>
      <c r="H33" s="196"/>
      <c r="I33" s="196"/>
      <c r="J33" s="196"/>
      <c r="K33" s="196"/>
      <c r="L33" s="196"/>
      <c r="M33" s="196"/>
      <c r="N33" s="298"/>
      <c r="O33" s="298"/>
      <c r="P33" s="298"/>
      <c r="Q33" s="311"/>
      <c r="R33" s="311"/>
      <c r="S33" s="311"/>
      <c r="T33" s="311"/>
      <c r="U33" s="311"/>
    </row>
    <row r="34" spans="1:21">
      <c r="A34" s="11">
        <v>29</v>
      </c>
      <c r="B34" s="38" t="s">
        <v>27</v>
      </c>
      <c r="C34" s="198">
        <v>1294950</v>
      </c>
      <c r="D34" s="198">
        <v>1468874</v>
      </c>
      <c r="E34" s="198">
        <v>1720376</v>
      </c>
      <c r="F34" s="198">
        <v>1103333</v>
      </c>
      <c r="G34" s="198">
        <v>696073</v>
      </c>
      <c r="H34" s="198">
        <v>2006809</v>
      </c>
      <c r="I34" s="198">
        <f>ROUND(2136846.49597,0)</f>
        <v>2136846</v>
      </c>
      <c r="J34" s="198">
        <v>2560120</v>
      </c>
      <c r="K34" s="198">
        <f>2822439+50544</f>
        <v>2872983</v>
      </c>
      <c r="L34" s="198">
        <v>9389833</v>
      </c>
      <c r="M34" s="198">
        <v>10015091</v>
      </c>
      <c r="N34" s="313">
        <v>8308585.7999999998</v>
      </c>
      <c r="O34" s="313">
        <v>8441753.6300000008</v>
      </c>
      <c r="P34" s="313">
        <v>8453949.96545</v>
      </c>
      <c r="Q34" s="309">
        <v>8351048.2768100007</v>
      </c>
      <c r="R34" s="309">
        <v>8378054.1187700005</v>
      </c>
      <c r="S34" s="309">
        <v>8730953.5452099983</v>
      </c>
      <c r="T34" s="309">
        <v>8952404.8210000005</v>
      </c>
      <c r="U34" s="309">
        <v>9496699.7338999994</v>
      </c>
    </row>
    <row r="35" spans="1:21">
      <c r="A35" s="81"/>
      <c r="B35" s="82"/>
      <c r="C35" s="83"/>
      <c r="D35" s="84"/>
      <c r="E35" s="83"/>
      <c r="F35" s="56"/>
      <c r="G35" s="80"/>
      <c r="H35" s="80"/>
      <c r="I35" s="80"/>
      <c r="J35" s="80"/>
      <c r="K35" s="80"/>
      <c r="L35" s="167"/>
      <c r="M35" s="167"/>
      <c r="N35" s="216"/>
      <c r="O35" s="216"/>
      <c r="P35" s="216"/>
      <c r="Q35" s="311"/>
      <c r="R35" s="311"/>
      <c r="S35" s="311"/>
      <c r="T35" s="311"/>
      <c r="U35" s="311"/>
    </row>
    <row r="36" spans="1:21">
      <c r="A36" s="3" t="s">
        <v>102</v>
      </c>
      <c r="B36" s="60"/>
      <c r="C36" s="61"/>
      <c r="D36" s="62"/>
      <c r="E36" s="61"/>
      <c r="F36" s="63"/>
      <c r="G36" s="64"/>
      <c r="H36" s="64"/>
      <c r="I36" s="64"/>
      <c r="J36" s="64"/>
      <c r="K36" s="64"/>
      <c r="L36" s="225"/>
      <c r="M36" s="225"/>
      <c r="N36" s="171"/>
      <c r="O36" s="171"/>
      <c r="P36" s="361"/>
      <c r="Q36" s="341"/>
      <c r="R36" s="341"/>
      <c r="S36" s="341"/>
      <c r="T36" s="341"/>
      <c r="U36" s="341"/>
    </row>
    <row r="37" spans="1:21">
      <c r="A37" s="66"/>
      <c r="B37" s="66"/>
      <c r="C37" s="65"/>
      <c r="D37" s="65"/>
      <c r="E37" s="65"/>
      <c r="F37" s="67"/>
      <c r="G37" s="65"/>
      <c r="H37" s="68"/>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enableFormatConditionsCalculation="0">
    <tabColor rgb="FFFF0000"/>
  </sheetPr>
  <dimension ref="A1:V37"/>
  <sheetViews>
    <sheetView view="pageLayout" topLeftCell="C26" zoomScaleNormal="100" workbookViewId="0">
      <selection activeCell="T81" sqref="T81"/>
    </sheetView>
  </sheetViews>
  <sheetFormatPr baseColWidth="10" defaultColWidth="11.42578125" defaultRowHeight="12.75"/>
  <cols>
    <col min="1" max="1" width="8.42578125" style="147" customWidth="1"/>
    <col min="2" max="2" width="60.85546875" style="147" bestFit="1" customWidth="1"/>
    <col min="3" max="8" width="10.7109375" style="92" bestFit="1" customWidth="1"/>
    <col min="9" max="9" width="12.28515625" style="92" bestFit="1" customWidth="1"/>
    <col min="10" max="17" width="11.42578125" style="92"/>
    <col min="18" max="21" width="15.42578125" style="78" bestFit="1" customWidth="1"/>
    <col min="22" max="22" width="11.42578125" style="383"/>
    <col min="23" max="16384" width="11.42578125" style="92"/>
  </cols>
  <sheetData>
    <row r="1" spans="1:21">
      <c r="A1" s="187" t="s">
        <v>0</v>
      </c>
      <c r="B1" s="12" t="s">
        <v>1</v>
      </c>
      <c r="C1" s="1">
        <v>2000</v>
      </c>
      <c r="D1" s="1">
        <v>2001</v>
      </c>
      <c r="E1" s="1">
        <v>2002</v>
      </c>
      <c r="F1" s="1">
        <v>2003</v>
      </c>
      <c r="G1" s="1">
        <v>2004</v>
      </c>
      <c r="H1" s="1">
        <v>2005</v>
      </c>
      <c r="I1" s="1">
        <v>2006</v>
      </c>
      <c r="J1" s="1">
        <v>2007</v>
      </c>
      <c r="K1" s="1">
        <v>2008</v>
      </c>
      <c r="L1" s="194">
        <v>2009</v>
      </c>
      <c r="M1" s="194">
        <v>2010</v>
      </c>
      <c r="N1" s="194">
        <v>2011</v>
      </c>
      <c r="O1" s="194">
        <v>2012</v>
      </c>
      <c r="P1" s="194">
        <v>2013</v>
      </c>
      <c r="Q1" s="344">
        <v>2014</v>
      </c>
      <c r="R1" s="344">
        <v>2015</v>
      </c>
      <c r="S1" s="344">
        <v>2016</v>
      </c>
      <c r="T1" s="344">
        <v>2017</v>
      </c>
      <c r="U1" s="344">
        <v>2018</v>
      </c>
    </row>
    <row r="2" spans="1:21">
      <c r="A2" s="7" t="s">
        <v>52</v>
      </c>
      <c r="B2" s="8" t="s">
        <v>68</v>
      </c>
      <c r="C2" s="79"/>
      <c r="D2" s="79"/>
      <c r="E2" s="79"/>
      <c r="F2" s="79"/>
      <c r="G2" s="79"/>
      <c r="H2" s="79"/>
      <c r="I2" s="79"/>
      <c r="J2" s="79"/>
      <c r="K2" s="79"/>
      <c r="L2" s="6"/>
      <c r="M2" s="6"/>
      <c r="N2" s="6"/>
      <c r="O2" s="6"/>
      <c r="P2" s="6"/>
      <c r="Q2" s="346"/>
      <c r="R2" s="346"/>
      <c r="S2" s="346"/>
      <c r="T2" s="345"/>
      <c r="U2" s="345"/>
    </row>
    <row r="3" spans="1:21">
      <c r="A3" s="186"/>
      <c r="B3" s="9"/>
      <c r="C3" s="9" t="s">
        <v>106</v>
      </c>
      <c r="D3" s="9" t="s">
        <v>106</v>
      </c>
      <c r="E3" s="9" t="s">
        <v>106</v>
      </c>
      <c r="F3" s="9" t="s">
        <v>106</v>
      </c>
      <c r="G3" s="9" t="s">
        <v>106</v>
      </c>
      <c r="H3" s="9" t="s">
        <v>106</v>
      </c>
      <c r="I3" s="9" t="s">
        <v>106</v>
      </c>
      <c r="J3" s="9" t="s">
        <v>106</v>
      </c>
      <c r="K3" s="9" t="s">
        <v>106</v>
      </c>
      <c r="L3" s="9" t="s">
        <v>106</v>
      </c>
      <c r="M3" s="9" t="s">
        <v>106</v>
      </c>
      <c r="N3" s="9" t="s">
        <v>106</v>
      </c>
      <c r="O3" s="9" t="s">
        <v>106</v>
      </c>
      <c r="P3" s="9" t="s">
        <v>106</v>
      </c>
      <c r="Q3" s="343" t="s">
        <v>106</v>
      </c>
      <c r="R3" s="343" t="s">
        <v>106</v>
      </c>
      <c r="S3" s="343" t="s">
        <v>4</v>
      </c>
      <c r="T3" s="343" t="s">
        <v>4</v>
      </c>
      <c r="U3" s="343" t="s">
        <v>4</v>
      </c>
    </row>
    <row r="4" spans="1:21">
      <c r="A4" s="11">
        <v>1</v>
      </c>
      <c r="B4" s="12" t="s">
        <v>32</v>
      </c>
      <c r="C4" s="228">
        <f t="shared" ref="C4:H4" si="0">C6+C11+C16+C18</f>
        <v>1847695</v>
      </c>
      <c r="D4" s="228">
        <f t="shared" si="0"/>
        <v>1856306</v>
      </c>
      <c r="E4" s="228">
        <f t="shared" si="0"/>
        <v>1963385</v>
      </c>
      <c r="F4" s="228">
        <f t="shared" si="0"/>
        <v>2012302</v>
      </c>
      <c r="G4" s="228">
        <f t="shared" si="0"/>
        <v>2116271</v>
      </c>
      <c r="H4" s="228">
        <f t="shared" si="0"/>
        <v>2084395</v>
      </c>
      <c r="I4" s="198">
        <f t="shared" ref="I4:N4" si="1">I6+I11+I16+I18</f>
        <v>1909045</v>
      </c>
      <c r="J4" s="198">
        <f t="shared" si="1"/>
        <v>1859382.1987000001</v>
      </c>
      <c r="K4" s="198">
        <f t="shared" si="1"/>
        <v>1803788</v>
      </c>
      <c r="L4" s="198">
        <f t="shared" si="1"/>
        <v>1803015.29534</v>
      </c>
      <c r="M4" s="198">
        <f t="shared" si="1"/>
        <v>1753546</v>
      </c>
      <c r="N4" s="198">
        <f t="shared" si="1"/>
        <v>2440138.59289</v>
      </c>
      <c r="O4" s="198">
        <f>O6+O11+O16+O18</f>
        <v>1827805.5790000001</v>
      </c>
      <c r="P4" s="198">
        <f>P6+P11+P16+P18</f>
        <v>2074167</v>
      </c>
      <c r="Q4" s="348">
        <f>Q6+Q11+Q16+Q18</f>
        <v>1887904.2750000001</v>
      </c>
      <c r="R4" s="348">
        <f t="shared" ref="R4:U4" si="2">R6+R11+R16+R18</f>
        <v>1978631.7390000001</v>
      </c>
      <c r="S4" s="348">
        <f t="shared" si="2"/>
        <v>2052558.93808</v>
      </c>
      <c r="T4" s="348">
        <f t="shared" si="2"/>
        <v>2165308.5809999998</v>
      </c>
      <c r="U4" s="348">
        <f t="shared" si="2"/>
        <v>2670167.128</v>
      </c>
    </row>
    <row r="5" spans="1:21">
      <c r="A5" s="14"/>
      <c r="B5" s="15"/>
      <c r="C5" s="229"/>
      <c r="D5" s="230"/>
      <c r="E5" s="229"/>
      <c r="F5" s="229"/>
      <c r="G5" s="27"/>
      <c r="H5" s="196"/>
      <c r="I5" s="196"/>
      <c r="J5" s="196"/>
      <c r="K5" s="196"/>
      <c r="L5" s="196"/>
      <c r="M5" s="196"/>
      <c r="N5" s="196"/>
      <c r="O5" s="196"/>
      <c r="P5" s="196"/>
      <c r="Q5" s="298"/>
      <c r="R5" s="298"/>
      <c r="S5" s="298"/>
      <c r="T5" s="298"/>
      <c r="U5" s="298"/>
    </row>
    <row r="6" spans="1:21">
      <c r="A6" s="19">
        <v>10</v>
      </c>
      <c r="B6" s="12" t="s">
        <v>33</v>
      </c>
      <c r="C6" s="198">
        <f>SUM(C7:C10)</f>
        <v>545653</v>
      </c>
      <c r="D6" s="198">
        <f t="shared" ref="D6:I6" si="3">D7+D8+D9</f>
        <v>546399</v>
      </c>
      <c r="E6" s="198">
        <f t="shared" si="3"/>
        <v>661652</v>
      </c>
      <c r="F6" s="198">
        <f t="shared" si="3"/>
        <v>668451</v>
      </c>
      <c r="G6" s="198">
        <f t="shared" si="3"/>
        <v>669665</v>
      </c>
      <c r="H6" s="198">
        <f t="shared" si="3"/>
        <v>931590</v>
      </c>
      <c r="I6" s="198">
        <f t="shared" si="3"/>
        <v>792208</v>
      </c>
      <c r="J6" s="198">
        <f t="shared" ref="J6:O6" si="4">J7+J8+J9</f>
        <v>785167.32290000003</v>
      </c>
      <c r="K6" s="198">
        <f t="shared" si="4"/>
        <v>735057</v>
      </c>
      <c r="L6" s="198">
        <f t="shared" si="4"/>
        <v>731920.51200999995</v>
      </c>
      <c r="M6" s="198">
        <f t="shared" si="4"/>
        <v>690502</v>
      </c>
      <c r="N6" s="198">
        <f t="shared" si="4"/>
        <v>1400226.91289</v>
      </c>
      <c r="O6" s="198">
        <f t="shared" si="4"/>
        <v>805647.29399999999</v>
      </c>
      <c r="P6" s="198">
        <f t="shared" ref="P6:T6" si="5">P7+P8+P9</f>
        <v>815286.12399999995</v>
      </c>
      <c r="Q6" s="348">
        <f t="shared" si="5"/>
        <v>630770.91800000006</v>
      </c>
      <c r="R6" s="348">
        <f t="shared" si="5"/>
        <v>720599.40899999999</v>
      </c>
      <c r="S6" s="348">
        <f t="shared" si="5"/>
        <v>718908.06193999993</v>
      </c>
      <c r="T6" s="348">
        <f t="shared" si="5"/>
        <v>780427.91299999994</v>
      </c>
      <c r="U6" s="348">
        <f>U7+U8+U9</f>
        <v>1026467.187</v>
      </c>
    </row>
    <row r="7" spans="1:21">
      <c r="A7" s="20" t="s">
        <v>7</v>
      </c>
      <c r="B7" s="21" t="s">
        <v>34</v>
      </c>
      <c r="C7" s="231">
        <f>33238+413333</f>
        <v>446571</v>
      </c>
      <c r="D7" s="231">
        <f>25736+400922</f>
        <v>426658</v>
      </c>
      <c r="E7" s="231">
        <f>124641+456467</f>
        <v>581108</v>
      </c>
      <c r="F7" s="231">
        <f>37797+481887</f>
        <v>519684</v>
      </c>
      <c r="G7" s="231">
        <f>51628+502500</f>
        <v>554128</v>
      </c>
      <c r="H7" s="231">
        <f>84625+757755</f>
        <v>842380</v>
      </c>
      <c r="I7" s="231">
        <f>ROUND((65053058.37+512703657.5)/1000,0)-1</f>
        <v>577756</v>
      </c>
      <c r="J7" s="231">
        <f>(132304701.26+425318101.9)/1000</f>
        <v>557622.80316000001</v>
      </c>
      <c r="K7" s="231">
        <v>559196</v>
      </c>
      <c r="L7" s="196">
        <f>+(108824057.6+462408732.9)/1000</f>
        <v>571232.7905</v>
      </c>
      <c r="M7" s="196">
        <v>531805</v>
      </c>
      <c r="N7" s="298">
        <v>1252114.66289</v>
      </c>
      <c r="O7" s="298">
        <v>667875.98499999999</v>
      </c>
      <c r="P7" s="322">
        <v>623728.54299999995</v>
      </c>
      <c r="Q7" s="322">
        <v>493622.24400000001</v>
      </c>
      <c r="R7" s="385">
        <v>575812.78799999994</v>
      </c>
      <c r="S7" s="298">
        <v>564385.46976999997</v>
      </c>
      <c r="T7" s="298">
        <v>616948.576</v>
      </c>
      <c r="U7" s="298">
        <v>671870.76</v>
      </c>
    </row>
    <row r="8" spans="1:21">
      <c r="A8" s="25">
        <v>102</v>
      </c>
      <c r="B8" s="26" t="s">
        <v>35</v>
      </c>
      <c r="C8" s="231">
        <v>74054</v>
      </c>
      <c r="D8" s="231">
        <v>73018</v>
      </c>
      <c r="E8" s="231">
        <v>64124</v>
      </c>
      <c r="F8" s="231">
        <v>64195</v>
      </c>
      <c r="G8" s="231">
        <v>61482</v>
      </c>
      <c r="H8" s="231">
        <v>67045</v>
      </c>
      <c r="I8" s="231">
        <f>ROUND(67956693.25/1000,0)</f>
        <v>67957</v>
      </c>
      <c r="J8" s="231">
        <f>65898729.43/1000</f>
        <v>65898.729430000007</v>
      </c>
      <c r="K8" s="231">
        <v>62423</v>
      </c>
      <c r="L8" s="199">
        <f>+(57250045.86)/1000</f>
        <v>57250.045859999998</v>
      </c>
      <c r="M8" s="199">
        <v>52162</v>
      </c>
      <c r="N8" s="300">
        <v>51868.747000000003</v>
      </c>
      <c r="O8" s="300">
        <v>53444.784</v>
      </c>
      <c r="P8" s="323">
        <v>52762.62</v>
      </c>
      <c r="Q8" s="323">
        <v>51732.972000000002</v>
      </c>
      <c r="R8" s="387">
        <v>66302.907000000007</v>
      </c>
      <c r="S8" s="300">
        <v>70469.105899999995</v>
      </c>
      <c r="T8" s="300">
        <v>69588.736999999994</v>
      </c>
      <c r="U8" s="300">
        <v>136399.66700000002</v>
      </c>
    </row>
    <row r="9" spans="1:21">
      <c r="A9" s="25">
        <v>103</v>
      </c>
      <c r="B9" s="26" t="s">
        <v>36</v>
      </c>
      <c r="C9" s="231">
        <v>25028</v>
      </c>
      <c r="D9" s="231">
        <v>46723</v>
      </c>
      <c r="E9" s="231">
        <v>16420</v>
      </c>
      <c r="F9" s="231">
        <v>84572</v>
      </c>
      <c r="G9" s="231">
        <v>54055</v>
      </c>
      <c r="H9" s="231">
        <v>22165</v>
      </c>
      <c r="I9" s="231">
        <f>ROUND(146494724/1000,0)</f>
        <v>146495</v>
      </c>
      <c r="J9" s="231">
        <f>161645790.31/1000</f>
        <v>161645.79031000001</v>
      </c>
      <c r="K9" s="231">
        <v>113438</v>
      </c>
      <c r="L9" s="196">
        <f>+(103437675.65)/1000</f>
        <v>103437.67565</v>
      </c>
      <c r="M9" s="196">
        <v>106535</v>
      </c>
      <c r="N9" s="298">
        <v>96243.502999999997</v>
      </c>
      <c r="O9" s="298">
        <v>84326.524999999994</v>
      </c>
      <c r="P9" s="322">
        <v>138794.96100000001</v>
      </c>
      <c r="Q9" s="322">
        <v>85415.702000000005</v>
      </c>
      <c r="R9" s="385">
        <v>78483.714000000007</v>
      </c>
      <c r="S9" s="298">
        <v>84053.486269999994</v>
      </c>
      <c r="T9" s="298">
        <v>93890.6</v>
      </c>
      <c r="U9" s="298">
        <v>218196.76</v>
      </c>
    </row>
    <row r="10" spans="1:21">
      <c r="A10" s="28"/>
      <c r="B10" s="29"/>
      <c r="C10" s="232"/>
      <c r="D10" s="233"/>
      <c r="E10" s="232"/>
      <c r="F10" s="232"/>
      <c r="G10" s="27"/>
      <c r="H10" s="196"/>
      <c r="I10" s="196"/>
      <c r="J10" s="196"/>
      <c r="K10" s="196"/>
      <c r="L10" s="196"/>
      <c r="M10" s="196"/>
      <c r="N10" s="196"/>
      <c r="O10" s="196"/>
      <c r="P10" s="324"/>
      <c r="Q10" s="363"/>
      <c r="R10" s="385"/>
      <c r="S10" s="298"/>
      <c r="T10" s="298"/>
      <c r="U10" s="298"/>
    </row>
    <row r="11" spans="1:21">
      <c r="A11" s="19">
        <v>11</v>
      </c>
      <c r="B11" s="12" t="s">
        <v>37</v>
      </c>
      <c r="C11" s="198">
        <f t="shared" ref="C11:H11" si="6">C12+C13+C14</f>
        <v>873892</v>
      </c>
      <c r="D11" s="198">
        <f t="shared" si="6"/>
        <v>863862</v>
      </c>
      <c r="E11" s="198">
        <f t="shared" si="6"/>
        <v>827050</v>
      </c>
      <c r="F11" s="198">
        <f t="shared" si="6"/>
        <v>805502</v>
      </c>
      <c r="G11" s="198">
        <f t="shared" si="6"/>
        <v>808930</v>
      </c>
      <c r="H11" s="198">
        <f t="shared" si="6"/>
        <v>795627</v>
      </c>
      <c r="I11" s="198">
        <f t="shared" ref="I11:N11" si="7">I12+I13+I14</f>
        <v>768132</v>
      </c>
      <c r="J11" s="198">
        <f t="shared" si="7"/>
        <v>732933.11768999998</v>
      </c>
      <c r="K11" s="198">
        <f t="shared" si="7"/>
        <v>741448</v>
      </c>
      <c r="L11" s="198">
        <f t="shared" si="7"/>
        <v>711159.71140999999</v>
      </c>
      <c r="M11" s="198">
        <f t="shared" si="7"/>
        <v>681759</v>
      </c>
      <c r="N11" s="198">
        <f t="shared" si="7"/>
        <v>661593.522</v>
      </c>
      <c r="O11" s="198">
        <f>O12+O13+O14</f>
        <v>643896.14399999997</v>
      </c>
      <c r="P11" s="198">
        <f>P12+P13+P14</f>
        <v>643865.20600000001</v>
      </c>
      <c r="Q11" s="348">
        <f>Q12+Q13+Q14</f>
        <v>642190.87</v>
      </c>
      <c r="R11" s="348">
        <f t="shared" ref="R11:U11" si="8">R12+R13+R14</f>
        <v>643149.53200000001</v>
      </c>
      <c r="S11" s="348">
        <f t="shared" si="8"/>
        <v>644643.83465000021</v>
      </c>
      <c r="T11" s="348">
        <f t="shared" si="8"/>
        <v>643600.33499999996</v>
      </c>
      <c r="U11" s="348">
        <f t="shared" si="8"/>
        <v>1643699.9410000001</v>
      </c>
    </row>
    <row r="12" spans="1:21">
      <c r="A12" s="32">
        <v>114</v>
      </c>
      <c r="B12" s="21" t="s">
        <v>57</v>
      </c>
      <c r="C12" s="231">
        <v>455447</v>
      </c>
      <c r="D12" s="231">
        <v>468578</v>
      </c>
      <c r="E12" s="231">
        <v>472328</v>
      </c>
      <c r="F12" s="231">
        <v>456840</v>
      </c>
      <c r="G12" s="231">
        <v>463283</v>
      </c>
      <c r="H12" s="231">
        <v>461547</v>
      </c>
      <c r="I12" s="231">
        <f>ROUND(448837698.29/1000,0)</f>
        <v>448838</v>
      </c>
      <c r="J12" s="231">
        <f>431982702.38/1000</f>
        <v>431982.70237999997</v>
      </c>
      <c r="K12" s="231">
        <v>400813</v>
      </c>
      <c r="L12" s="196">
        <f>+(394017771.28)/1000</f>
        <v>394017.77127999999</v>
      </c>
      <c r="M12" s="196">
        <v>392684</v>
      </c>
      <c r="N12" s="298">
        <v>419130.27799999999</v>
      </c>
      <c r="O12" s="298">
        <v>413539.799</v>
      </c>
      <c r="P12" s="322">
        <v>415012.64500000002</v>
      </c>
      <c r="Q12" s="322">
        <v>406666.88900000002</v>
      </c>
      <c r="R12" s="385">
        <v>407276.53899999999</v>
      </c>
      <c r="S12" s="298">
        <v>407927.27002000023</v>
      </c>
      <c r="T12" s="298">
        <v>403299.22899999999</v>
      </c>
      <c r="U12" s="298">
        <v>1147594.514</v>
      </c>
    </row>
    <row r="13" spans="1:21">
      <c r="A13" s="25">
        <v>115</v>
      </c>
      <c r="B13" s="26" t="s">
        <v>39</v>
      </c>
      <c r="C13" s="231">
        <v>253987</v>
      </c>
      <c r="D13" s="231">
        <v>216546</v>
      </c>
      <c r="E13" s="231">
        <v>183980</v>
      </c>
      <c r="F13" s="231">
        <v>185715</v>
      </c>
      <c r="G13" s="231">
        <v>196881</v>
      </c>
      <c r="H13" s="231">
        <v>196766</v>
      </c>
      <c r="I13" s="231">
        <f>ROUND(198749207.3/1000,0)</f>
        <v>198749</v>
      </c>
      <c r="J13" s="231">
        <f>196291504.45/1000</f>
        <v>196291.50444999998</v>
      </c>
      <c r="K13" s="231">
        <v>198071</v>
      </c>
      <c r="L13" s="199">
        <f>+(199541110.7)/1000</f>
        <v>199541.11069999999</v>
      </c>
      <c r="M13" s="199">
        <v>200113</v>
      </c>
      <c r="N13" s="300">
        <v>176215.095</v>
      </c>
      <c r="O13" s="300">
        <v>177752.005</v>
      </c>
      <c r="P13" s="323">
        <v>179642.00200000001</v>
      </c>
      <c r="Q13" s="323">
        <v>186185.981</v>
      </c>
      <c r="R13" s="387">
        <v>191647.022</v>
      </c>
      <c r="S13" s="300">
        <v>197638.834</v>
      </c>
      <c r="T13" s="300">
        <v>206234.111</v>
      </c>
      <c r="U13" s="300">
        <v>314683.89300000004</v>
      </c>
    </row>
    <row r="14" spans="1:21">
      <c r="A14" s="33" t="s">
        <v>14</v>
      </c>
      <c r="B14" s="34" t="s">
        <v>53</v>
      </c>
      <c r="C14" s="231">
        <v>164458</v>
      </c>
      <c r="D14" s="231">
        <v>178738</v>
      </c>
      <c r="E14" s="231">
        <v>170742</v>
      </c>
      <c r="F14" s="231">
        <v>162947</v>
      </c>
      <c r="G14" s="231">
        <v>148766</v>
      </c>
      <c r="H14" s="231">
        <v>137314</v>
      </c>
      <c r="I14" s="231">
        <f>ROUND(120544631.71/1000,0)</f>
        <v>120545</v>
      </c>
      <c r="J14" s="231">
        <f>104658910.86/1000</f>
        <v>104658.91086</v>
      </c>
      <c r="K14" s="231">
        <v>142564</v>
      </c>
      <c r="L14" s="196">
        <f>+(117600829.43)/1000</f>
        <v>117600.82943000001</v>
      </c>
      <c r="M14" s="196">
        <v>88962</v>
      </c>
      <c r="N14" s="298">
        <v>66248.149000000005</v>
      </c>
      <c r="O14" s="298">
        <v>52604.34</v>
      </c>
      <c r="P14" s="322">
        <v>49210.559000000001</v>
      </c>
      <c r="Q14" s="322">
        <v>49338</v>
      </c>
      <c r="R14" s="385">
        <v>44225.970999999998</v>
      </c>
      <c r="S14" s="298">
        <v>39077.730629999998</v>
      </c>
      <c r="T14" s="298">
        <v>34066.995000000003</v>
      </c>
      <c r="U14" s="298">
        <v>181421.53400000001</v>
      </c>
    </row>
    <row r="15" spans="1:21">
      <c r="A15" s="35"/>
      <c r="B15" s="36"/>
      <c r="C15" s="232"/>
      <c r="D15" s="233"/>
      <c r="E15" s="232"/>
      <c r="F15" s="232"/>
      <c r="G15" s="27"/>
      <c r="H15" s="200"/>
      <c r="I15" s="234"/>
      <c r="J15" s="234"/>
      <c r="K15" s="234"/>
      <c r="L15" s="200"/>
      <c r="M15" s="200"/>
      <c r="N15" s="305"/>
      <c r="O15" s="305"/>
      <c r="P15" s="305"/>
      <c r="Q15" s="305"/>
      <c r="R15" s="386"/>
      <c r="S15" s="305"/>
      <c r="T15" s="305"/>
      <c r="U15" s="305"/>
    </row>
    <row r="16" spans="1:21">
      <c r="A16" s="11">
        <v>12</v>
      </c>
      <c r="B16" s="38" t="s">
        <v>41</v>
      </c>
      <c r="C16" s="198">
        <v>988</v>
      </c>
      <c r="D16" s="198">
        <v>0</v>
      </c>
      <c r="E16" s="198">
        <v>0</v>
      </c>
      <c r="F16" s="198">
        <v>0</v>
      </c>
      <c r="G16" s="198">
        <v>0</v>
      </c>
      <c r="H16" s="198">
        <v>0</v>
      </c>
      <c r="I16" s="198">
        <v>0</v>
      </c>
      <c r="J16" s="198">
        <v>0</v>
      </c>
      <c r="K16" s="198">
        <v>0</v>
      </c>
      <c r="L16" s="198">
        <v>0</v>
      </c>
      <c r="M16" s="198">
        <v>0</v>
      </c>
      <c r="N16" s="313">
        <v>0</v>
      </c>
      <c r="O16" s="313">
        <v>0</v>
      </c>
      <c r="P16" s="313"/>
      <c r="Q16" s="313"/>
      <c r="R16" s="384"/>
      <c r="S16" s="388"/>
      <c r="T16" s="388"/>
      <c r="U16" s="388">
        <v>0</v>
      </c>
    </row>
    <row r="17" spans="1:21">
      <c r="A17" s="39"/>
      <c r="B17" s="40"/>
      <c r="C17" s="229"/>
      <c r="D17" s="230"/>
      <c r="E17" s="229"/>
      <c r="F17" s="229"/>
      <c r="G17" s="235"/>
      <c r="H17" s="196"/>
      <c r="I17" s="196"/>
      <c r="J17" s="196"/>
      <c r="K17" s="196"/>
      <c r="L17" s="196"/>
      <c r="M17" s="196"/>
      <c r="N17" s="298"/>
      <c r="O17" s="298"/>
      <c r="P17" s="298"/>
      <c r="Q17" s="298"/>
      <c r="R17" s="385"/>
      <c r="S17" s="298"/>
      <c r="T17" s="298"/>
      <c r="U17" s="298"/>
    </row>
    <row r="18" spans="1:21">
      <c r="A18" s="11">
        <v>13</v>
      </c>
      <c r="B18" s="38" t="s">
        <v>42</v>
      </c>
      <c r="C18" s="198">
        <v>427162</v>
      </c>
      <c r="D18" s="198">
        <v>446045</v>
      </c>
      <c r="E18" s="198">
        <v>474683</v>
      </c>
      <c r="F18" s="198">
        <v>538349</v>
      </c>
      <c r="G18" s="198">
        <v>637676</v>
      </c>
      <c r="H18" s="198">
        <f>354378+2800</f>
        <v>357178</v>
      </c>
      <c r="I18" s="198">
        <f>ROUND(348705470.54/1000,0)</f>
        <v>348705</v>
      </c>
      <c r="J18" s="198">
        <f>(333796244.11+7485514)/1000</f>
        <v>341281.75811</v>
      </c>
      <c r="K18" s="198">
        <f>326683+600</f>
        <v>327283</v>
      </c>
      <c r="L18" s="198">
        <f>+(359685071.92+250000)/1000</f>
        <v>359935.07192000002</v>
      </c>
      <c r="M18" s="198">
        <v>381285</v>
      </c>
      <c r="N18" s="313">
        <v>378318.158</v>
      </c>
      <c r="O18" s="313">
        <v>378262.141</v>
      </c>
      <c r="P18" s="313">
        <v>615015.67000000004</v>
      </c>
      <c r="Q18" s="313">
        <v>614942.48699999996</v>
      </c>
      <c r="R18" s="384">
        <v>614882.79799999995</v>
      </c>
      <c r="S18" s="388">
        <v>689007.04148999997</v>
      </c>
      <c r="T18" s="388">
        <v>741280.33299999998</v>
      </c>
      <c r="U18" s="388">
        <v>0</v>
      </c>
    </row>
    <row r="19" spans="1:21">
      <c r="A19" s="41"/>
      <c r="B19" s="42"/>
      <c r="C19" s="236"/>
      <c r="D19" s="237"/>
      <c r="E19" s="236"/>
      <c r="F19" s="236"/>
      <c r="G19" s="24"/>
      <c r="H19" s="196"/>
      <c r="I19" s="196"/>
      <c r="J19" s="196"/>
      <c r="K19" s="196"/>
      <c r="L19" s="196"/>
      <c r="M19" s="196"/>
      <c r="N19" s="298"/>
      <c r="O19" s="298"/>
      <c r="P19" s="322"/>
      <c r="Q19" s="322"/>
      <c r="R19" s="298"/>
      <c r="S19" s="298"/>
      <c r="T19" s="298"/>
      <c r="U19" s="298"/>
    </row>
    <row r="20" spans="1:21">
      <c r="A20" s="43"/>
      <c r="B20" s="36"/>
      <c r="C20" s="232"/>
      <c r="D20" s="233"/>
      <c r="E20" s="232"/>
      <c r="F20" s="232"/>
      <c r="G20" s="238"/>
      <c r="H20" s="200"/>
      <c r="I20" s="234"/>
      <c r="J20" s="234"/>
      <c r="K20" s="234"/>
      <c r="L20" s="200"/>
      <c r="M20" s="200"/>
      <c r="N20" s="305"/>
      <c r="O20" s="305"/>
      <c r="P20" s="325"/>
      <c r="Q20" s="325"/>
      <c r="R20" s="305"/>
      <c r="S20" s="305"/>
      <c r="T20" s="305"/>
      <c r="U20" s="305"/>
    </row>
    <row r="21" spans="1:21">
      <c r="A21" s="11">
        <v>2</v>
      </c>
      <c r="B21" s="38" t="s">
        <v>43</v>
      </c>
      <c r="C21" s="198">
        <f t="shared" ref="C21:H21" si="9">C23+C28+C30+C32+C34</f>
        <v>1847695</v>
      </c>
      <c r="D21" s="198">
        <f t="shared" si="9"/>
        <v>1856306</v>
      </c>
      <c r="E21" s="198">
        <f t="shared" si="9"/>
        <v>1963385</v>
      </c>
      <c r="F21" s="198">
        <f t="shared" si="9"/>
        <v>2012302</v>
      </c>
      <c r="G21" s="198">
        <f t="shared" si="9"/>
        <v>2116271</v>
      </c>
      <c r="H21" s="198">
        <f t="shared" si="9"/>
        <v>2084395</v>
      </c>
      <c r="I21" s="198">
        <f t="shared" ref="I21:N21" si="10">I23+I28+I30+I32+I34</f>
        <v>1909045</v>
      </c>
      <c r="J21" s="198">
        <f t="shared" si="10"/>
        <v>1859382.1977000001</v>
      </c>
      <c r="K21" s="198">
        <f t="shared" si="10"/>
        <v>1803788</v>
      </c>
      <c r="L21" s="198">
        <f t="shared" si="10"/>
        <v>1803015.2953400002</v>
      </c>
      <c r="M21" s="198">
        <f t="shared" si="10"/>
        <v>1753546</v>
      </c>
      <c r="N21" s="198">
        <f t="shared" si="10"/>
        <v>1674040.2</v>
      </c>
      <c r="O21" s="198">
        <f>O23+O28+O30+O32+O34</f>
        <v>1827805.696</v>
      </c>
      <c r="P21" s="198">
        <f t="shared" ref="P21:Q21" si="11">P23+P28+P30+P32+P34</f>
        <v>2074166.9989999998</v>
      </c>
      <c r="Q21" s="348">
        <f t="shared" si="11"/>
        <v>1887904.284</v>
      </c>
      <c r="R21" s="348">
        <f>R23+R28+R30+R32+R34</f>
        <v>1978631.7399999998</v>
      </c>
      <c r="S21" s="348">
        <f>S23+S28+S30+S32+S34</f>
        <v>2052558.93808</v>
      </c>
      <c r="T21" s="348">
        <f>T23+T28+T30+T32+T34</f>
        <v>2165308.5809999998</v>
      </c>
      <c r="U21" s="348">
        <f t="shared" ref="U21" si="12">U23+U28+U30+U32+U34</f>
        <v>2670167.2290000003</v>
      </c>
    </row>
    <row r="22" spans="1:21">
      <c r="A22" s="44"/>
      <c r="B22" s="45"/>
      <c r="C22" s="229"/>
      <c r="D22" s="230"/>
      <c r="E22" s="229"/>
      <c r="F22" s="229"/>
      <c r="G22" s="24"/>
      <c r="H22" s="196"/>
      <c r="I22" s="196"/>
      <c r="J22" s="196"/>
      <c r="K22" s="196"/>
      <c r="L22" s="196"/>
      <c r="M22" s="196"/>
      <c r="N22" s="196"/>
      <c r="O22" s="196"/>
      <c r="P22" s="324"/>
      <c r="Q22" s="322"/>
      <c r="R22" s="298"/>
      <c r="S22" s="298"/>
      <c r="T22" s="298"/>
      <c r="U22" s="298"/>
    </row>
    <row r="23" spans="1:21">
      <c r="A23" s="46">
        <v>20</v>
      </c>
      <c r="B23" s="47" t="s">
        <v>44</v>
      </c>
      <c r="C23" s="198">
        <f t="shared" ref="C23:I23" si="13">C24+C25+C26</f>
        <v>1756443</v>
      </c>
      <c r="D23" s="198">
        <f t="shared" si="13"/>
        <v>1733871</v>
      </c>
      <c r="E23" s="198">
        <f t="shared" si="13"/>
        <v>1831631</v>
      </c>
      <c r="F23" s="198">
        <f t="shared" si="13"/>
        <v>1860253</v>
      </c>
      <c r="G23" s="198">
        <f t="shared" si="13"/>
        <v>1999275</v>
      </c>
      <c r="H23" s="198">
        <f t="shared" si="13"/>
        <v>1937699</v>
      </c>
      <c r="I23" s="198">
        <f t="shared" si="13"/>
        <v>1796624</v>
      </c>
      <c r="J23" s="198">
        <f t="shared" ref="J23:O23" si="14">J24+J25+J26</f>
        <v>1728856.19961</v>
      </c>
      <c r="K23" s="198">
        <f t="shared" si="14"/>
        <v>1643891</v>
      </c>
      <c r="L23" s="198">
        <f t="shared" si="14"/>
        <v>1653777.2612900001</v>
      </c>
      <c r="M23" s="198">
        <f t="shared" si="14"/>
        <v>1593215</v>
      </c>
      <c r="N23" s="198">
        <f t="shared" si="14"/>
        <v>1542438.4469999999</v>
      </c>
      <c r="O23" s="198">
        <f t="shared" si="14"/>
        <v>1697061.915</v>
      </c>
      <c r="P23" s="198">
        <f t="shared" ref="P23:Q23" si="15">P24+P25+P26</f>
        <v>1693063.727</v>
      </c>
      <c r="Q23" s="348">
        <f t="shared" si="15"/>
        <v>1587775.129</v>
      </c>
      <c r="R23" s="348">
        <f>R24+R25+R26</f>
        <v>1695866.9679999999</v>
      </c>
      <c r="S23" s="348">
        <f>S24+S25+S26</f>
        <v>1773240.2854599999</v>
      </c>
      <c r="T23" s="348">
        <f>T24+T25+T26</f>
        <v>1894702.7679999999</v>
      </c>
      <c r="U23" s="348">
        <f t="shared" ref="U23" si="16">U24+U25+U26</f>
        <v>2226189.3170000003</v>
      </c>
    </row>
    <row r="24" spans="1:21">
      <c r="A24" s="48" t="s">
        <v>20</v>
      </c>
      <c r="B24" s="49" t="s">
        <v>58</v>
      </c>
      <c r="C24" s="231">
        <f>164500+5</f>
        <v>164505</v>
      </c>
      <c r="D24" s="231">
        <f>109801+18282</f>
        <v>128083</v>
      </c>
      <c r="E24" s="231">
        <f>150747+355</f>
        <v>151102</v>
      </c>
      <c r="F24" s="231">
        <f>106702+11154</f>
        <v>117856</v>
      </c>
      <c r="G24" s="231">
        <f>99458+7</f>
        <v>99465</v>
      </c>
      <c r="H24" s="231">
        <v>139620</v>
      </c>
      <c r="I24" s="231">
        <f>ROUND(177865407/1000,0)+1</f>
        <v>177866</v>
      </c>
      <c r="J24" s="231">
        <f>204945889.09/1000</f>
        <v>204945.88909000001</v>
      </c>
      <c r="K24" s="231">
        <f>178343+1</f>
        <v>178344</v>
      </c>
      <c r="L24" s="196">
        <f>+(135678010.11)/1000</f>
        <v>135678.01011</v>
      </c>
      <c r="M24" s="196">
        <v>138983</v>
      </c>
      <c r="N24" s="298">
        <v>176901.92</v>
      </c>
      <c r="O24" s="298">
        <v>217683.40100000001</v>
      </c>
      <c r="P24" s="322">
        <v>293033.76199999999</v>
      </c>
      <c r="Q24" s="322">
        <v>224533.478</v>
      </c>
      <c r="R24" s="385">
        <v>373977.03200000001</v>
      </c>
      <c r="S24" s="298">
        <v>491016.49534000002</v>
      </c>
      <c r="T24" s="298">
        <v>553356.36899999995</v>
      </c>
      <c r="U24" s="298">
        <v>800691.89500000002</v>
      </c>
    </row>
    <row r="25" spans="1:21">
      <c r="A25" s="50">
        <v>202</v>
      </c>
      <c r="B25" s="51" t="s">
        <v>59</v>
      </c>
      <c r="C25" s="231">
        <v>1572345</v>
      </c>
      <c r="D25" s="231">
        <v>1572878</v>
      </c>
      <c r="E25" s="231">
        <v>1640031</v>
      </c>
      <c r="F25" s="231">
        <v>1671925</v>
      </c>
      <c r="G25" s="231">
        <v>1853742</v>
      </c>
      <c r="H25" s="231">
        <v>1767708</v>
      </c>
      <c r="I25" s="231">
        <f>ROUND(1534792014.6/1000,0)</f>
        <v>1534792</v>
      </c>
      <c r="J25" s="231">
        <f>(1437874182.05)/1000</f>
        <v>1437874.1820499999</v>
      </c>
      <c r="K25" s="231">
        <v>1374717</v>
      </c>
      <c r="L25" s="199">
        <f>+(1418337048.7)/1000</f>
        <v>1418337.0487000002</v>
      </c>
      <c r="M25" s="199">
        <v>1360623</v>
      </c>
      <c r="N25" s="300">
        <v>1265736.9029999999</v>
      </c>
      <c r="O25" s="300">
        <v>1365043.946</v>
      </c>
      <c r="P25" s="323">
        <v>1276856.618</v>
      </c>
      <c r="Q25" s="323">
        <v>1231605.67</v>
      </c>
      <c r="R25" s="387">
        <v>1185979.791</v>
      </c>
      <c r="S25" s="300">
        <v>1142093.24865</v>
      </c>
      <c r="T25" s="300">
        <v>1187509.5330000001</v>
      </c>
      <c r="U25" s="300">
        <v>1206937.3870000001</v>
      </c>
    </row>
    <row r="26" spans="1:21">
      <c r="A26" s="50">
        <v>205</v>
      </c>
      <c r="B26" s="52" t="s">
        <v>60</v>
      </c>
      <c r="C26" s="231">
        <v>19593</v>
      </c>
      <c r="D26" s="231">
        <v>32910</v>
      </c>
      <c r="E26" s="231">
        <v>40498</v>
      </c>
      <c r="F26" s="231">
        <v>70472</v>
      </c>
      <c r="G26" s="231">
        <v>46068</v>
      </c>
      <c r="H26" s="231">
        <f>27571+2800</f>
        <v>30371</v>
      </c>
      <c r="I26" s="231">
        <f>ROUND(83966491.79/1000,0)</f>
        <v>83966</v>
      </c>
      <c r="J26" s="231">
        <f>(78550614.47+7485514)/1000</f>
        <v>86036.128469999996</v>
      </c>
      <c r="K26" s="231">
        <v>90830</v>
      </c>
      <c r="L26" s="196">
        <f>+(99762202.48)/1000</f>
        <v>99762.202480000007</v>
      </c>
      <c r="M26" s="196">
        <v>93609</v>
      </c>
      <c r="N26" s="298">
        <v>99799.623999999996</v>
      </c>
      <c r="O26" s="298">
        <v>114334.568</v>
      </c>
      <c r="P26" s="322">
        <v>123173.34699999999</v>
      </c>
      <c r="Q26" s="322">
        <v>131635.981</v>
      </c>
      <c r="R26" s="385">
        <v>135910.14499999999</v>
      </c>
      <c r="S26" s="298">
        <v>140130.54147</v>
      </c>
      <c r="T26" s="298">
        <v>153836.86600000001</v>
      </c>
      <c r="U26" s="298">
        <v>218560.035</v>
      </c>
    </row>
    <row r="27" spans="1:21">
      <c r="A27" s="35"/>
      <c r="B27" s="36"/>
      <c r="C27" s="232"/>
      <c r="D27" s="233"/>
      <c r="E27" s="232"/>
      <c r="F27" s="232"/>
      <c r="G27" s="238"/>
      <c r="H27" s="200"/>
      <c r="I27" s="234"/>
      <c r="J27" s="234"/>
      <c r="K27" s="234"/>
      <c r="L27" s="200"/>
      <c r="M27" s="200"/>
      <c r="N27" s="305"/>
      <c r="O27" s="305"/>
      <c r="P27" s="325"/>
      <c r="Q27" s="325"/>
      <c r="R27" s="386"/>
      <c r="S27" s="305"/>
      <c r="T27" s="305"/>
      <c r="U27" s="305"/>
    </row>
    <row r="28" spans="1:21">
      <c r="A28" s="11">
        <v>23</v>
      </c>
      <c r="B28" s="38" t="s">
        <v>48</v>
      </c>
      <c r="C28" s="198">
        <v>11951</v>
      </c>
      <c r="D28" s="198">
        <v>30407</v>
      </c>
      <c r="E28" s="198">
        <v>38459</v>
      </c>
      <c r="F28" s="198">
        <v>64226</v>
      </c>
      <c r="G28" s="198">
        <v>36622</v>
      </c>
      <c r="H28" s="198">
        <v>4793</v>
      </c>
      <c r="I28" s="198">
        <f>ROUND(4208936.84/1000,0)</f>
        <v>4209</v>
      </c>
      <c r="J28" s="198">
        <f>17105988.87/1000</f>
        <v>17105.988870000001</v>
      </c>
      <c r="K28" s="198">
        <v>18783</v>
      </c>
      <c r="L28" s="198">
        <f>+(3536301)/1000</f>
        <v>3536.3009999999999</v>
      </c>
      <c r="M28" s="198">
        <v>1878</v>
      </c>
      <c r="N28" s="313">
        <v>1109.9159999999999</v>
      </c>
      <c r="O28" s="313">
        <v>374</v>
      </c>
      <c r="P28" s="313">
        <v>0.96799999999999997</v>
      </c>
      <c r="Q28" s="313">
        <v>0</v>
      </c>
      <c r="R28" s="384">
        <v>0</v>
      </c>
      <c r="S28" s="388"/>
      <c r="T28" s="388"/>
      <c r="U28" s="388"/>
    </row>
    <row r="29" spans="1:21">
      <c r="A29" s="53"/>
      <c r="B29" s="40"/>
      <c r="C29" s="229"/>
      <c r="D29" s="230"/>
      <c r="E29" s="229"/>
      <c r="F29" s="229"/>
      <c r="G29" s="213"/>
      <c r="H29" s="196"/>
      <c r="I29" s="196"/>
      <c r="J29" s="196"/>
      <c r="K29" s="196"/>
      <c r="L29" s="196"/>
      <c r="M29" s="196"/>
      <c r="N29" s="298"/>
      <c r="O29" s="298"/>
      <c r="P29" s="322"/>
      <c r="Q29" s="322"/>
      <c r="R29" s="385"/>
      <c r="S29" s="298"/>
      <c r="T29" s="298"/>
      <c r="U29" s="298"/>
    </row>
    <row r="30" spans="1:21">
      <c r="A30" s="11">
        <v>24</v>
      </c>
      <c r="B30" s="38" t="s">
        <v>107</v>
      </c>
      <c r="C30" s="198">
        <v>16658</v>
      </c>
      <c r="D30" s="198">
        <v>28110</v>
      </c>
      <c r="E30" s="198">
        <v>20369</v>
      </c>
      <c r="F30" s="198">
        <v>12717</v>
      </c>
      <c r="G30" s="198">
        <v>6796</v>
      </c>
      <c r="H30" s="198">
        <v>7500</v>
      </c>
      <c r="I30" s="198">
        <f>ROUND(12332843.58/1000,0)</f>
        <v>12333</v>
      </c>
      <c r="J30" s="198">
        <f>16291603.79/1000</f>
        <v>16291.603789999999</v>
      </c>
      <c r="K30" s="198">
        <v>18243</v>
      </c>
      <c r="L30" s="198">
        <f>+(33196721.45)/1000</f>
        <v>33196.721449999997</v>
      </c>
      <c r="M30" s="198">
        <v>65361</v>
      </c>
      <c r="N30" s="313">
        <v>39187.400999999998</v>
      </c>
      <c r="O30" s="313">
        <v>36211.447</v>
      </c>
      <c r="P30" s="313">
        <v>306046.33299999998</v>
      </c>
      <c r="Q30" s="313">
        <v>230016.20499999999</v>
      </c>
      <c r="R30" s="384">
        <v>204169.78899999999</v>
      </c>
      <c r="S30" s="388">
        <v>206993.66822999998</v>
      </c>
      <c r="T30" s="388">
        <v>204269.56700000001</v>
      </c>
      <c r="U30" s="388">
        <v>136779.47999999998</v>
      </c>
    </row>
    <row r="31" spans="1:21">
      <c r="A31" s="44"/>
      <c r="B31" s="45"/>
      <c r="C31" s="231"/>
      <c r="D31" s="230"/>
      <c r="E31" s="229"/>
      <c r="F31" s="229"/>
      <c r="G31" s="198"/>
      <c r="H31" s="196"/>
      <c r="I31" s="196"/>
      <c r="J31" s="196"/>
      <c r="K31" s="196"/>
      <c r="L31" s="196"/>
      <c r="M31" s="196"/>
      <c r="N31" s="298"/>
      <c r="O31" s="298"/>
      <c r="P31" s="322"/>
      <c r="Q31" s="322"/>
      <c r="R31" s="385"/>
      <c r="S31" s="298"/>
      <c r="T31" s="298"/>
      <c r="U31" s="298"/>
    </row>
    <row r="32" spans="1:21">
      <c r="A32" s="54">
        <v>28</v>
      </c>
      <c r="B32" s="47" t="s">
        <v>54</v>
      </c>
      <c r="C32" s="198">
        <v>62643</v>
      </c>
      <c r="D32" s="198">
        <v>63918</v>
      </c>
      <c r="E32" s="198">
        <v>72926</v>
      </c>
      <c r="F32" s="198">
        <v>75106</v>
      </c>
      <c r="G32" s="198">
        <v>73578</v>
      </c>
      <c r="H32" s="198">
        <v>134403</v>
      </c>
      <c r="I32" s="198">
        <f>ROUND(95879446.99/1000,0)</f>
        <v>95879</v>
      </c>
      <c r="J32" s="198">
        <f>97128405.43/1000</f>
        <v>97128.405430000013</v>
      </c>
      <c r="K32" s="198">
        <f>122271+600</f>
        <v>122871</v>
      </c>
      <c r="L32" s="198">
        <f>+(112255011.6+250000)/1000</f>
        <v>112505.0116</v>
      </c>
      <c r="M32" s="198">
        <v>93092</v>
      </c>
      <c r="N32" s="313">
        <v>91304.436000000002</v>
      </c>
      <c r="O32" s="313">
        <v>94158.334000000003</v>
      </c>
      <c r="P32" s="313">
        <v>75055.971000000005</v>
      </c>
      <c r="Q32" s="313">
        <v>70112.95</v>
      </c>
      <c r="R32" s="384">
        <v>78594.982999999993</v>
      </c>
      <c r="S32" s="388">
        <v>72324.984390000012</v>
      </c>
      <c r="T32" s="388">
        <v>66336.245999999999</v>
      </c>
      <c r="U32" s="388">
        <v>12892.396000000001</v>
      </c>
    </row>
    <row r="33" spans="1:21">
      <c r="A33" s="53"/>
      <c r="B33" s="40"/>
      <c r="C33" s="229"/>
      <c r="D33" s="230"/>
      <c r="E33" s="229"/>
      <c r="F33" s="229"/>
      <c r="G33" s="198"/>
      <c r="H33" s="196"/>
      <c r="I33" s="196"/>
      <c r="J33" s="196"/>
      <c r="K33" s="196"/>
      <c r="L33" s="196"/>
      <c r="M33" s="196"/>
      <c r="N33" s="298"/>
      <c r="O33" s="298"/>
      <c r="P33" s="322"/>
      <c r="Q33" s="322"/>
      <c r="R33" s="385"/>
      <c r="S33" s="298"/>
      <c r="T33" s="298"/>
      <c r="U33" s="298"/>
    </row>
    <row r="34" spans="1:21">
      <c r="A34" s="11">
        <v>29</v>
      </c>
      <c r="B34" s="38" t="s">
        <v>51</v>
      </c>
      <c r="C34" s="198">
        <v>0</v>
      </c>
      <c r="D34" s="198">
        <v>0</v>
      </c>
      <c r="E34" s="198">
        <v>0</v>
      </c>
      <c r="F34" s="198">
        <v>0</v>
      </c>
      <c r="G34" s="198">
        <v>0</v>
      </c>
      <c r="H34" s="198">
        <v>0</v>
      </c>
      <c r="I34" s="198">
        <v>0</v>
      </c>
      <c r="J34" s="198">
        <v>0</v>
      </c>
      <c r="K34" s="198">
        <v>0</v>
      </c>
      <c r="L34" s="198">
        <v>0</v>
      </c>
      <c r="M34" s="198">
        <v>0</v>
      </c>
      <c r="N34" s="313">
        <v>0</v>
      </c>
      <c r="O34" s="313">
        <v>0</v>
      </c>
      <c r="P34" s="313">
        <v>0</v>
      </c>
      <c r="Q34" s="313">
        <v>0</v>
      </c>
      <c r="R34" s="384">
        <v>0</v>
      </c>
      <c r="S34" s="388"/>
      <c r="T34" s="388"/>
      <c r="U34" s="388">
        <v>294306.03600000002</v>
      </c>
    </row>
    <row r="35" spans="1:21">
      <c r="A35" s="131"/>
      <c r="B35" s="132"/>
      <c r="C35" s="203"/>
      <c r="D35" s="239"/>
      <c r="E35" s="203"/>
      <c r="F35" s="24"/>
      <c r="G35" s="24"/>
      <c r="H35" s="24"/>
      <c r="I35" s="24"/>
      <c r="J35" s="24"/>
      <c r="K35" s="24"/>
      <c r="L35" s="167"/>
      <c r="M35" s="167"/>
      <c r="N35" s="167"/>
      <c r="O35" s="167"/>
      <c r="P35" s="331"/>
      <c r="Q35" s="339"/>
      <c r="R35" s="360"/>
      <c r="S35" s="360"/>
      <c r="T35" s="360"/>
      <c r="U35" s="360"/>
    </row>
    <row r="36" spans="1:21">
      <c r="A36" s="98"/>
      <c r="B36" s="144"/>
      <c r="C36" s="240"/>
      <c r="D36" s="241"/>
      <c r="E36" s="240"/>
      <c r="F36" s="64"/>
      <c r="G36" s="64"/>
      <c r="H36" s="64"/>
      <c r="I36" s="64"/>
      <c r="J36" s="64"/>
      <c r="K36" s="64"/>
      <c r="L36" s="225"/>
      <c r="M36" s="225"/>
      <c r="N36" s="225"/>
      <c r="O36" s="225"/>
      <c r="P36" s="225"/>
      <c r="Q36" s="337"/>
      <c r="R36" s="362"/>
      <c r="S36" s="362"/>
      <c r="T36" s="362"/>
      <c r="U36" s="362"/>
    </row>
    <row r="37" spans="1:21">
      <c r="A37" s="336" t="s">
        <v>108</v>
      </c>
      <c r="B37" s="181"/>
      <c r="C37" s="182"/>
      <c r="D37" s="182"/>
      <c r="E37" s="182"/>
      <c r="F37" s="182"/>
      <c r="G37" s="182"/>
      <c r="H37" s="182"/>
      <c r="I37" s="182"/>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rgb="FFFF000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1.42578125" style="75" customWidth="1"/>
    <col min="3" max="8" width="10.7109375" style="2" bestFit="1" customWidth="1"/>
    <col min="9" max="9" width="12.28515625" style="2" bestFit="1" customWidth="1"/>
    <col min="10" max="10" width="14.7109375" style="2" customWidth="1"/>
    <col min="11"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64</v>
      </c>
      <c r="C2" s="79"/>
      <c r="D2" s="79"/>
      <c r="E2" s="79"/>
      <c r="F2" s="79"/>
      <c r="G2" s="79"/>
      <c r="H2" s="79"/>
      <c r="I2" s="79"/>
      <c r="J2" s="6"/>
      <c r="K2" s="6"/>
      <c r="L2" s="6"/>
      <c r="M2" s="6"/>
      <c r="N2" s="6"/>
      <c r="O2" s="6"/>
      <c r="P2" s="6"/>
      <c r="Q2" s="346"/>
      <c r="R2" s="346"/>
      <c r="S2" s="346"/>
      <c r="T2" s="345"/>
      <c r="U2" s="345"/>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410964</v>
      </c>
      <c r="D4" s="228">
        <f t="shared" si="0"/>
        <v>454122.9</v>
      </c>
      <c r="E4" s="228">
        <f t="shared" si="0"/>
        <v>434080</v>
      </c>
      <c r="F4" s="228">
        <f t="shared" si="0"/>
        <v>450898</v>
      </c>
      <c r="G4" s="228">
        <f t="shared" si="0"/>
        <v>439384</v>
      </c>
      <c r="H4" s="228">
        <f t="shared" si="0"/>
        <v>527629</v>
      </c>
      <c r="I4" s="198">
        <f t="shared" ref="I4:O4" si="1">I6+I11+I16+I18</f>
        <v>523226</v>
      </c>
      <c r="J4" s="198">
        <f t="shared" si="1"/>
        <v>588945.15581999999</v>
      </c>
      <c r="K4" s="198">
        <f t="shared" si="1"/>
        <v>570895</v>
      </c>
      <c r="L4" s="198">
        <f t="shared" si="1"/>
        <v>557516.24765000003</v>
      </c>
      <c r="M4" s="198">
        <f t="shared" si="1"/>
        <v>506943</v>
      </c>
      <c r="N4" s="198">
        <f t="shared" si="1"/>
        <v>1520715.3689900001</v>
      </c>
      <c r="O4" s="198">
        <f t="shared" si="1"/>
        <v>441803.45053999999</v>
      </c>
      <c r="P4" s="198">
        <f t="shared" ref="P4:U4" si="2">P6+P11+P16+P18</f>
        <v>449949</v>
      </c>
      <c r="Q4" s="348">
        <f t="shared" si="2"/>
        <v>457150.94555999996</v>
      </c>
      <c r="R4" s="348">
        <f t="shared" si="2"/>
        <v>505435.39010000002</v>
      </c>
      <c r="S4" s="348">
        <f t="shared" si="2"/>
        <v>547311.672914</v>
      </c>
      <c r="T4" s="348">
        <f t="shared" si="2"/>
        <v>620760.1</v>
      </c>
      <c r="U4" s="348">
        <f t="shared" si="2"/>
        <v>844959</v>
      </c>
    </row>
    <row r="5" spans="1:21" ht="6.95" customHeight="1">
      <c r="A5" s="14"/>
      <c r="B5" s="15"/>
      <c r="C5" s="229"/>
      <c r="D5" s="230"/>
      <c r="E5" s="229"/>
      <c r="F5" s="229"/>
      <c r="G5" s="27"/>
      <c r="H5" s="196"/>
      <c r="I5" s="196"/>
      <c r="J5" s="196"/>
      <c r="K5" s="196"/>
      <c r="L5" s="196"/>
      <c r="M5" s="196"/>
      <c r="N5" s="196"/>
      <c r="O5" s="196"/>
      <c r="P5" s="196"/>
      <c r="Q5" s="298"/>
      <c r="R5" s="298"/>
      <c r="S5" s="298"/>
      <c r="T5" s="298"/>
      <c r="U5" s="298"/>
    </row>
    <row r="6" spans="1:21">
      <c r="A6" s="19">
        <v>10</v>
      </c>
      <c r="B6" s="12" t="s">
        <v>6</v>
      </c>
      <c r="C6" s="198">
        <f t="shared" ref="C6:H6" si="3">C7+C8+C9</f>
        <v>131792</v>
      </c>
      <c r="D6" s="198">
        <f t="shared" si="3"/>
        <v>189143.9</v>
      </c>
      <c r="E6" s="198">
        <f t="shared" si="3"/>
        <v>174561</v>
      </c>
      <c r="F6" s="198">
        <f t="shared" si="3"/>
        <v>184377</v>
      </c>
      <c r="G6" s="198">
        <f t="shared" si="3"/>
        <v>203275</v>
      </c>
      <c r="H6" s="198">
        <f t="shared" si="3"/>
        <v>325161</v>
      </c>
      <c r="I6" s="198">
        <f t="shared" ref="I6:O6" si="4">I7+I8+I9</f>
        <v>316668</v>
      </c>
      <c r="J6" s="198">
        <f t="shared" si="4"/>
        <v>376363.73253000004</v>
      </c>
      <c r="K6" s="198">
        <f t="shared" si="4"/>
        <v>353279</v>
      </c>
      <c r="L6" s="198">
        <f t="shared" si="4"/>
        <v>344091.18618000002</v>
      </c>
      <c r="M6" s="198">
        <f t="shared" si="4"/>
        <v>287204</v>
      </c>
      <c r="N6" s="198">
        <f t="shared" si="4"/>
        <v>1284891.74765</v>
      </c>
      <c r="O6" s="198">
        <f t="shared" si="4"/>
        <v>186266.30311000001</v>
      </c>
      <c r="P6" s="198">
        <f t="shared" ref="P6:T6" si="5">P7+P8+P9</f>
        <v>185749.80000000002</v>
      </c>
      <c r="Q6" s="348">
        <f t="shared" si="5"/>
        <v>191856.42385999998</v>
      </c>
      <c r="R6" s="348">
        <f t="shared" si="5"/>
        <v>235665.65775000001</v>
      </c>
      <c r="S6" s="348">
        <f t="shared" si="5"/>
        <v>283668.16392400005</v>
      </c>
      <c r="T6" s="348">
        <f t="shared" si="5"/>
        <v>366428.2</v>
      </c>
      <c r="U6" s="348">
        <f>U7+U8+U9</f>
        <v>559607</v>
      </c>
    </row>
    <row r="7" spans="1:21">
      <c r="A7" s="20" t="s">
        <v>7</v>
      </c>
      <c r="B7" s="21" t="s">
        <v>8</v>
      </c>
      <c r="C7" s="231">
        <f>19441+99806</f>
        <v>119247</v>
      </c>
      <c r="D7" s="231">
        <f>41986.9+127291</f>
        <v>169277.9</v>
      </c>
      <c r="E7" s="231">
        <f>41148+111379</f>
        <v>152527</v>
      </c>
      <c r="F7" s="231">
        <f>47427+117873</f>
        <v>165300</v>
      </c>
      <c r="G7" s="231">
        <f>33598+148755</f>
        <v>182353</v>
      </c>
      <c r="H7" s="231">
        <f>98495+196853</f>
        <v>295348</v>
      </c>
      <c r="I7" s="231">
        <f>ROUND(65946.89139+223829.7155,0)</f>
        <v>289777</v>
      </c>
      <c r="J7" s="236">
        <f>74145.209+279286.69273</f>
        <v>353431.90173000004</v>
      </c>
      <c r="K7" s="236">
        <f>138096+200313</f>
        <v>338409</v>
      </c>
      <c r="L7" s="196">
        <f>182240.29722+130309.86875</f>
        <v>312550.16596999997</v>
      </c>
      <c r="M7" s="196">
        <v>258373</v>
      </c>
      <c r="N7" s="298">
        <v>1252114.66289</v>
      </c>
      <c r="O7" s="298">
        <f>34755.57541+139464.72341</f>
        <v>174220.29882</v>
      </c>
      <c r="P7" s="322">
        <f>33598.5+142329.7</f>
        <v>175928.2</v>
      </c>
      <c r="Q7" s="322">
        <f>15332.62108+164250.99988</f>
        <v>179583.62096</v>
      </c>
      <c r="R7" s="376">
        <v>220999.5442</v>
      </c>
      <c r="S7" s="298">
        <v>269179.301424</v>
      </c>
      <c r="T7" s="298">
        <v>349139.4</v>
      </c>
      <c r="U7" s="298">
        <v>209424</v>
      </c>
    </row>
    <row r="8" spans="1:21">
      <c r="A8" s="25">
        <v>102</v>
      </c>
      <c r="B8" s="26" t="s">
        <v>9</v>
      </c>
      <c r="C8" s="231">
        <v>6457</v>
      </c>
      <c r="D8" s="231">
        <v>5617</v>
      </c>
      <c r="E8" s="231">
        <v>6402</v>
      </c>
      <c r="F8" s="231">
        <v>7270</v>
      </c>
      <c r="G8" s="231">
        <v>10243</v>
      </c>
      <c r="H8" s="231">
        <v>15310</v>
      </c>
      <c r="I8" s="231">
        <f>ROUND(15074.19215,0)</f>
        <v>15074</v>
      </c>
      <c r="J8" s="236">
        <v>15174.6921</v>
      </c>
      <c r="K8" s="236">
        <v>11614</v>
      </c>
      <c r="L8" s="199">
        <v>28643.701369999999</v>
      </c>
      <c r="M8" s="199">
        <v>25484</v>
      </c>
      <c r="N8" s="300">
        <v>26253.112089999999</v>
      </c>
      <c r="O8" s="300">
        <v>6272.8336900000004</v>
      </c>
      <c r="P8" s="323">
        <v>6398.1</v>
      </c>
      <c r="Q8" s="323">
        <v>10386.71644</v>
      </c>
      <c r="R8" s="378">
        <v>10385.088540000001</v>
      </c>
      <c r="S8" s="300">
        <v>10385.088540000001</v>
      </c>
      <c r="T8" s="300">
        <v>10380.700000000001</v>
      </c>
      <c r="U8" s="300">
        <v>241016</v>
      </c>
    </row>
    <row r="9" spans="1:21">
      <c r="A9" s="25">
        <v>103</v>
      </c>
      <c r="B9" s="26" t="s">
        <v>10</v>
      </c>
      <c r="C9" s="231">
        <v>6088</v>
      </c>
      <c r="D9" s="231">
        <v>14249</v>
      </c>
      <c r="E9" s="231">
        <v>15632</v>
      </c>
      <c r="F9" s="231">
        <v>11807</v>
      </c>
      <c r="G9" s="231">
        <v>10679</v>
      </c>
      <c r="H9" s="231">
        <v>14503</v>
      </c>
      <c r="I9" s="231">
        <f>ROUND(11816.78632,0)</f>
        <v>11817</v>
      </c>
      <c r="J9" s="236">
        <v>7757.1387000000004</v>
      </c>
      <c r="K9" s="236">
        <v>3256</v>
      </c>
      <c r="L9" s="196">
        <v>2897.3188399999999</v>
      </c>
      <c r="M9" s="196">
        <v>3347</v>
      </c>
      <c r="N9" s="298">
        <v>6523.9726700000001</v>
      </c>
      <c r="O9" s="298">
        <v>5773.1706000000004</v>
      </c>
      <c r="P9" s="322">
        <v>3423.5</v>
      </c>
      <c r="Q9" s="322">
        <v>1886.08646</v>
      </c>
      <c r="R9" s="376">
        <v>4281.0250100000003</v>
      </c>
      <c r="S9" s="298">
        <v>4103.7739600000004</v>
      </c>
      <c r="T9" s="298">
        <v>6908.1</v>
      </c>
      <c r="U9" s="298">
        <v>109167</v>
      </c>
    </row>
    <row r="10" spans="1:21" ht="6.95" customHeight="1">
      <c r="A10" s="28"/>
      <c r="B10" s="29"/>
      <c r="C10" s="232"/>
      <c r="D10" s="233"/>
      <c r="E10" s="232"/>
      <c r="F10" s="232"/>
      <c r="G10" s="27"/>
      <c r="H10" s="196"/>
      <c r="I10" s="196"/>
      <c r="J10" s="196"/>
      <c r="K10" s="196"/>
      <c r="L10" s="196"/>
      <c r="M10" s="196"/>
      <c r="N10" s="196"/>
      <c r="O10" s="196"/>
      <c r="P10" s="324"/>
      <c r="Q10" s="324"/>
      <c r="R10" s="298"/>
      <c r="S10" s="298"/>
      <c r="T10" s="298"/>
      <c r="U10" s="298"/>
    </row>
    <row r="11" spans="1:21">
      <c r="A11" s="19">
        <v>11</v>
      </c>
      <c r="B11" s="12" t="s">
        <v>11</v>
      </c>
      <c r="C11" s="198">
        <f t="shared" ref="C11:H11" si="6">C12+C13+C14</f>
        <v>279172</v>
      </c>
      <c r="D11" s="198">
        <f t="shared" si="6"/>
        <v>264979</v>
      </c>
      <c r="E11" s="198">
        <f t="shared" si="6"/>
        <v>259519</v>
      </c>
      <c r="F11" s="198">
        <f t="shared" si="6"/>
        <v>266521</v>
      </c>
      <c r="G11" s="198">
        <f t="shared" si="6"/>
        <v>236109</v>
      </c>
      <c r="H11" s="198">
        <f t="shared" si="6"/>
        <v>202468</v>
      </c>
      <c r="I11" s="198">
        <f t="shared" ref="I11:O11" si="7">I12+I13+I14</f>
        <v>206558</v>
      </c>
      <c r="J11" s="198">
        <f t="shared" si="7"/>
        <v>212581.42329000001</v>
      </c>
      <c r="K11" s="198">
        <f t="shared" si="7"/>
        <v>217616</v>
      </c>
      <c r="L11" s="198">
        <f t="shared" si="7"/>
        <v>213425.06146999999</v>
      </c>
      <c r="M11" s="198">
        <f t="shared" si="7"/>
        <v>219739</v>
      </c>
      <c r="N11" s="198">
        <f t="shared" si="7"/>
        <v>235823.62134000001</v>
      </c>
      <c r="O11" s="198">
        <f t="shared" si="7"/>
        <v>255537.14743000001</v>
      </c>
      <c r="P11" s="198">
        <f t="shared" ref="P11:U11" si="8">P12+P13+P14</f>
        <v>264199.2</v>
      </c>
      <c r="Q11" s="348">
        <f t="shared" si="8"/>
        <v>265294.52169999998</v>
      </c>
      <c r="R11" s="348">
        <f t="shared" si="8"/>
        <v>269769.73235000001</v>
      </c>
      <c r="S11" s="348">
        <f t="shared" si="8"/>
        <v>263643.50899</v>
      </c>
      <c r="T11" s="348">
        <f t="shared" si="8"/>
        <v>254331.9</v>
      </c>
      <c r="U11" s="348">
        <f t="shared" si="8"/>
        <v>285352</v>
      </c>
    </row>
    <row r="12" spans="1:21">
      <c r="A12" s="32">
        <v>114</v>
      </c>
      <c r="B12" s="21" t="s">
        <v>12</v>
      </c>
      <c r="C12" s="231">
        <v>118551</v>
      </c>
      <c r="D12" s="231">
        <v>126531</v>
      </c>
      <c r="E12" s="231">
        <v>133597</v>
      </c>
      <c r="F12" s="231">
        <v>138691</v>
      </c>
      <c r="G12" s="231">
        <v>108550</v>
      </c>
      <c r="H12" s="231">
        <v>76019</v>
      </c>
      <c r="I12" s="231">
        <f>ROUND(67433.47739,0)</f>
        <v>67433</v>
      </c>
      <c r="J12" s="247">
        <v>74428.401719999994</v>
      </c>
      <c r="K12" s="247">
        <v>73457</v>
      </c>
      <c r="L12" s="196">
        <v>74836.525899999993</v>
      </c>
      <c r="M12" s="196">
        <v>77848</v>
      </c>
      <c r="N12" s="298">
        <v>86630.435140000001</v>
      </c>
      <c r="O12" s="298">
        <v>90026.680489999999</v>
      </c>
      <c r="P12" s="322">
        <v>90966.7</v>
      </c>
      <c r="Q12" s="322">
        <v>87210.800239999997</v>
      </c>
      <c r="R12" s="376">
        <v>83700.707599999994</v>
      </c>
      <c r="S12" s="298">
        <v>65945.245989999996</v>
      </c>
      <c r="T12" s="298">
        <v>68419.3</v>
      </c>
      <c r="U12" s="298">
        <v>67224</v>
      </c>
    </row>
    <row r="13" spans="1:21">
      <c r="A13" s="25">
        <v>115</v>
      </c>
      <c r="B13" s="26" t="s">
        <v>13</v>
      </c>
      <c r="C13" s="231">
        <v>133820</v>
      </c>
      <c r="D13" s="231">
        <v>117949</v>
      </c>
      <c r="E13" s="231">
        <v>106988</v>
      </c>
      <c r="F13" s="231">
        <v>106902</v>
      </c>
      <c r="G13" s="231">
        <v>106867</v>
      </c>
      <c r="H13" s="231">
        <v>106823</v>
      </c>
      <c r="I13" s="231">
        <f>ROUND(117144.18375,0)</f>
        <v>117144</v>
      </c>
      <c r="J13" s="247">
        <v>117159.06375</v>
      </c>
      <c r="K13" s="247">
        <v>117102</v>
      </c>
      <c r="L13" s="199">
        <v>117094.183</v>
      </c>
      <c r="M13" s="199">
        <v>117139</v>
      </c>
      <c r="N13" s="300">
        <v>117140.79300000001</v>
      </c>
      <c r="O13" s="300">
        <v>126976.66800000001</v>
      </c>
      <c r="P13" s="323">
        <v>127046.1</v>
      </c>
      <c r="Q13" s="323">
        <v>126965.643</v>
      </c>
      <c r="R13" s="378">
        <v>127020.54300000001</v>
      </c>
      <c r="S13" s="300">
        <v>140938.81445999999</v>
      </c>
      <c r="T13" s="300">
        <v>131839.5</v>
      </c>
      <c r="U13" s="300">
        <v>161691</v>
      </c>
    </row>
    <row r="14" spans="1:21">
      <c r="A14" s="33" t="s">
        <v>14</v>
      </c>
      <c r="B14" s="34" t="s">
        <v>15</v>
      </c>
      <c r="C14" s="231">
        <v>26801</v>
      </c>
      <c r="D14" s="231">
        <v>20499</v>
      </c>
      <c r="E14" s="231">
        <v>18934</v>
      </c>
      <c r="F14" s="231">
        <v>20928</v>
      </c>
      <c r="G14" s="231">
        <v>20692</v>
      </c>
      <c r="H14" s="231">
        <v>19626</v>
      </c>
      <c r="I14" s="231">
        <f>ROUND(21981.10477,0)</f>
        <v>21981</v>
      </c>
      <c r="J14" s="247">
        <v>20993.95782</v>
      </c>
      <c r="K14" s="247">
        <v>27057</v>
      </c>
      <c r="L14" s="196">
        <v>21494.352569999999</v>
      </c>
      <c r="M14" s="196">
        <v>24752</v>
      </c>
      <c r="N14" s="298">
        <v>32052.393199999999</v>
      </c>
      <c r="O14" s="298">
        <v>38533.798940000001</v>
      </c>
      <c r="P14" s="322">
        <v>46186.400000000001</v>
      </c>
      <c r="Q14" s="363">
        <v>51118.078459999997</v>
      </c>
      <c r="R14" s="376">
        <v>59048.481749999999</v>
      </c>
      <c r="S14" s="298">
        <v>56759.448539999998</v>
      </c>
      <c r="T14" s="298">
        <v>54073.1</v>
      </c>
      <c r="U14" s="298">
        <v>56437</v>
      </c>
    </row>
    <row r="15" spans="1:21" ht="6.95" customHeight="1">
      <c r="A15" s="35"/>
      <c r="B15" s="36"/>
      <c r="C15" s="232"/>
      <c r="D15" s="233"/>
      <c r="E15" s="232"/>
      <c r="F15" s="232"/>
      <c r="G15" s="27"/>
      <c r="H15" s="200"/>
      <c r="I15" s="234"/>
      <c r="J15" s="200"/>
      <c r="K15" s="200"/>
      <c r="L15" s="200"/>
      <c r="M15" s="200"/>
      <c r="N15" s="305"/>
      <c r="O15" s="305"/>
      <c r="P15" s="305"/>
      <c r="Q15" s="305"/>
      <c r="R15" s="305"/>
      <c r="S15" s="305"/>
      <c r="T15" s="305"/>
      <c r="U15" s="305"/>
    </row>
    <row r="16" spans="1:21">
      <c r="A16" s="11">
        <v>12</v>
      </c>
      <c r="B16" s="38" t="s">
        <v>16</v>
      </c>
      <c r="C16" s="198">
        <v>0</v>
      </c>
      <c r="D16" s="198">
        <v>0</v>
      </c>
      <c r="E16" s="198">
        <v>0</v>
      </c>
      <c r="F16" s="198">
        <v>0</v>
      </c>
      <c r="G16" s="198">
        <v>0</v>
      </c>
      <c r="H16" s="198">
        <v>0</v>
      </c>
      <c r="I16" s="198">
        <v>0</v>
      </c>
      <c r="J16" s="198">
        <v>0</v>
      </c>
      <c r="K16" s="198"/>
      <c r="L16" s="198">
        <v>0</v>
      </c>
      <c r="M16" s="198">
        <v>0</v>
      </c>
      <c r="N16" s="313">
        <v>0</v>
      </c>
      <c r="O16" s="313">
        <v>0</v>
      </c>
      <c r="P16" s="313">
        <v>0</v>
      </c>
      <c r="Q16" s="313"/>
      <c r="R16" s="313"/>
      <c r="S16" s="388"/>
      <c r="T16" s="388"/>
      <c r="U16" s="388">
        <v>0</v>
      </c>
    </row>
    <row r="17" spans="1:21" ht="6.95" customHeight="1">
      <c r="A17" s="39"/>
      <c r="B17" s="40"/>
      <c r="C17" s="229"/>
      <c r="D17" s="230"/>
      <c r="E17" s="229"/>
      <c r="F17" s="229"/>
      <c r="G17" s="235"/>
      <c r="H17" s="196"/>
      <c r="I17" s="196"/>
      <c r="J17" s="196"/>
      <c r="K17" s="196"/>
      <c r="L17" s="196"/>
      <c r="M17" s="196"/>
      <c r="N17" s="298"/>
      <c r="O17" s="298"/>
      <c r="P17" s="322"/>
      <c r="Q17" s="322"/>
      <c r="R17" s="298"/>
      <c r="S17" s="298"/>
      <c r="T17" s="298"/>
      <c r="U17" s="298"/>
    </row>
    <row r="18" spans="1:21">
      <c r="A18" s="11">
        <v>13</v>
      </c>
      <c r="B18" s="38" t="s">
        <v>17</v>
      </c>
      <c r="C18" s="198">
        <v>0</v>
      </c>
      <c r="D18" s="198">
        <v>0</v>
      </c>
      <c r="E18" s="198">
        <v>0</v>
      </c>
      <c r="F18" s="198">
        <v>0</v>
      </c>
      <c r="G18" s="198">
        <v>0</v>
      </c>
      <c r="H18" s="198">
        <v>0</v>
      </c>
      <c r="I18" s="198">
        <v>0</v>
      </c>
      <c r="J18" s="198">
        <v>0</v>
      </c>
      <c r="K18" s="198"/>
      <c r="L18" s="198">
        <v>0</v>
      </c>
      <c r="M18" s="198">
        <v>0</v>
      </c>
      <c r="N18" s="313">
        <v>0</v>
      </c>
      <c r="O18" s="313">
        <v>0</v>
      </c>
      <c r="P18" s="313">
        <v>0</v>
      </c>
      <c r="Q18" s="313"/>
      <c r="R18" s="313"/>
      <c r="S18" s="388"/>
      <c r="T18" s="388"/>
      <c r="U18" s="388">
        <v>0</v>
      </c>
    </row>
    <row r="19" spans="1:21" ht="6.95" customHeight="1">
      <c r="A19" s="41"/>
      <c r="B19" s="42"/>
      <c r="C19" s="236"/>
      <c r="D19" s="237"/>
      <c r="E19" s="236"/>
      <c r="F19" s="236"/>
      <c r="G19" s="24"/>
      <c r="H19" s="196"/>
      <c r="I19" s="196"/>
      <c r="J19" s="196"/>
      <c r="K19" s="196"/>
      <c r="L19" s="196"/>
      <c r="M19" s="196"/>
      <c r="N19" s="298"/>
      <c r="O19" s="298"/>
      <c r="P19" s="322"/>
      <c r="Q19" s="322"/>
      <c r="R19" s="298"/>
      <c r="S19" s="298"/>
      <c r="T19" s="298"/>
      <c r="U19" s="298"/>
    </row>
    <row r="20" spans="1:21" ht="6.95" customHeight="1">
      <c r="A20" s="43"/>
      <c r="B20" s="36"/>
      <c r="C20" s="232"/>
      <c r="D20" s="233"/>
      <c r="E20" s="232"/>
      <c r="F20" s="232"/>
      <c r="G20" s="238"/>
      <c r="H20" s="200"/>
      <c r="I20" s="234"/>
      <c r="J20" s="200"/>
      <c r="K20" s="200"/>
      <c r="L20" s="200"/>
      <c r="M20" s="200"/>
      <c r="N20" s="305"/>
      <c r="O20" s="305"/>
      <c r="P20" s="325"/>
      <c r="Q20" s="325"/>
      <c r="R20" s="305"/>
      <c r="S20" s="305"/>
      <c r="T20" s="305"/>
      <c r="U20" s="305"/>
    </row>
    <row r="21" spans="1:21">
      <c r="A21" s="11">
        <v>2</v>
      </c>
      <c r="B21" s="38" t="s">
        <v>18</v>
      </c>
      <c r="C21" s="198">
        <f t="shared" ref="C21:H21" si="9">C23+C28+C30+C32+C34</f>
        <v>410964</v>
      </c>
      <c r="D21" s="198">
        <f t="shared" si="9"/>
        <v>454123</v>
      </c>
      <c r="E21" s="198">
        <f t="shared" si="9"/>
        <v>434080</v>
      </c>
      <c r="F21" s="198">
        <f t="shared" si="9"/>
        <v>450898</v>
      </c>
      <c r="G21" s="198">
        <f t="shared" si="9"/>
        <v>439384</v>
      </c>
      <c r="H21" s="198">
        <f t="shared" si="9"/>
        <v>527629</v>
      </c>
      <c r="I21" s="198">
        <f t="shared" ref="I21:P21" si="10">I23+I28+I30+I32+I34</f>
        <v>523226</v>
      </c>
      <c r="J21" s="198">
        <f t="shared" si="10"/>
        <v>588945.15581999999</v>
      </c>
      <c r="K21" s="198">
        <f t="shared" si="10"/>
        <v>570895</v>
      </c>
      <c r="L21" s="198">
        <f t="shared" si="10"/>
        <v>557515.69224999996</v>
      </c>
      <c r="M21" s="198">
        <f t="shared" si="10"/>
        <v>506943</v>
      </c>
      <c r="N21" s="198">
        <f t="shared" si="10"/>
        <v>488500.17069000006</v>
      </c>
      <c r="O21" s="198">
        <f t="shared" si="10"/>
        <v>441803.45053999999</v>
      </c>
      <c r="P21" s="198">
        <f t="shared" si="10"/>
        <v>449949.2</v>
      </c>
      <c r="Q21" s="348">
        <f t="shared" ref="Q21" si="11">Q23+Q28+Q30+Q32+Q34</f>
        <v>457150.94556000002</v>
      </c>
      <c r="R21" s="348">
        <f>R23+R28+R30+R32+R34</f>
        <v>505435.39010000008</v>
      </c>
      <c r="S21" s="348">
        <f>S23+S28+S30+S32+S34</f>
        <v>547311.6733299999</v>
      </c>
      <c r="T21" s="348">
        <f>T23+T28+T30+T32+T34</f>
        <v>620760.10000000009</v>
      </c>
      <c r="U21" s="348">
        <f t="shared" ref="U21" si="12">U23+U28+U30+U32+U34</f>
        <v>844959</v>
      </c>
    </row>
    <row r="22" spans="1:21" ht="6.95" customHeight="1">
      <c r="A22" s="44"/>
      <c r="B22" s="45"/>
      <c r="C22" s="229"/>
      <c r="D22" s="230"/>
      <c r="E22" s="229"/>
      <c r="F22" s="229"/>
      <c r="G22" s="24"/>
      <c r="H22" s="196"/>
      <c r="I22" s="196"/>
      <c r="J22" s="196"/>
      <c r="K22" s="196"/>
      <c r="L22" s="196"/>
      <c r="M22" s="196"/>
      <c r="N22" s="196"/>
      <c r="O22" s="196"/>
      <c r="P22" s="324"/>
      <c r="Q22" s="322"/>
      <c r="R22" s="298"/>
      <c r="S22" s="298"/>
      <c r="T22" s="298"/>
      <c r="U22" s="298"/>
    </row>
    <row r="23" spans="1:21">
      <c r="A23" s="46">
        <v>20</v>
      </c>
      <c r="B23" s="47" t="s">
        <v>19</v>
      </c>
      <c r="C23" s="198">
        <f t="shared" ref="C23:H23" si="13">C24+C25+C26</f>
        <v>372175</v>
      </c>
      <c r="D23" s="198">
        <f t="shared" si="13"/>
        <v>402098</v>
      </c>
      <c r="E23" s="198">
        <f t="shared" si="13"/>
        <v>385272</v>
      </c>
      <c r="F23" s="198">
        <f t="shared" si="13"/>
        <v>406882</v>
      </c>
      <c r="G23" s="198">
        <f t="shared" si="13"/>
        <v>374383</v>
      </c>
      <c r="H23" s="198">
        <f t="shared" si="13"/>
        <v>338239</v>
      </c>
      <c r="I23" s="198">
        <f t="shared" ref="I23:P23" si="14">I24+I25+I26</f>
        <v>313428</v>
      </c>
      <c r="J23" s="198">
        <f t="shared" si="14"/>
        <v>348077.10022000002</v>
      </c>
      <c r="K23" s="198">
        <f t="shared" si="14"/>
        <v>323066</v>
      </c>
      <c r="L23" s="198">
        <f t="shared" si="14"/>
        <v>301770.77296999999</v>
      </c>
      <c r="M23" s="198">
        <f t="shared" si="14"/>
        <v>262546</v>
      </c>
      <c r="N23" s="198">
        <f t="shared" si="14"/>
        <v>249677.73493000001</v>
      </c>
      <c r="O23" s="198">
        <f t="shared" si="14"/>
        <v>231740.01589000001</v>
      </c>
      <c r="P23" s="198">
        <f t="shared" si="14"/>
        <v>259280.80000000002</v>
      </c>
      <c r="Q23" s="348">
        <f t="shared" ref="Q23" si="15">Q24+Q25+Q26</f>
        <v>275551.98994</v>
      </c>
      <c r="R23" s="348">
        <f>R24+R25+R26</f>
        <v>322770.05379999999</v>
      </c>
      <c r="S23" s="348">
        <f>S24+S25+S26</f>
        <v>315620.29433</v>
      </c>
      <c r="T23" s="348">
        <f>T24+T25+T26</f>
        <v>299866.90000000002</v>
      </c>
      <c r="U23" s="348">
        <f t="shared" ref="U23" si="16">U24+U25+U26</f>
        <v>337744</v>
      </c>
    </row>
    <row r="24" spans="1:21">
      <c r="A24" s="48" t="s">
        <v>20</v>
      </c>
      <c r="B24" s="49" t="s">
        <v>21</v>
      </c>
      <c r="C24" s="231">
        <f>ROUND(57414.1+27391.5,0)</f>
        <v>84806</v>
      </c>
      <c r="D24" s="231">
        <f>68425+35824</f>
        <v>104249</v>
      </c>
      <c r="E24" s="231">
        <f>104311</f>
        <v>104311</v>
      </c>
      <c r="F24" s="231">
        <f>98785+25000</f>
        <v>123785</v>
      </c>
      <c r="G24" s="231">
        <f>88123+15000</f>
        <v>103123</v>
      </c>
      <c r="H24" s="231">
        <v>104348</v>
      </c>
      <c r="I24" s="231">
        <f>ROUND(113024.00664,0)</f>
        <v>113024</v>
      </c>
      <c r="J24" s="236">
        <v>157251.63373</v>
      </c>
      <c r="K24" s="236">
        <v>148757</v>
      </c>
      <c r="L24" s="196">
        <v>161774</v>
      </c>
      <c r="M24" s="196">
        <v>149396</v>
      </c>
      <c r="N24" s="298">
        <v>155294.30658</v>
      </c>
      <c r="O24" s="298">
        <v>147321.89180000001</v>
      </c>
      <c r="P24" s="322">
        <v>174998.1</v>
      </c>
      <c r="Q24" s="322">
        <f>129770.97695+20000</f>
        <v>149770.97694999998</v>
      </c>
      <c r="R24" s="376">
        <v>157151.73522999999</v>
      </c>
      <c r="S24" s="298">
        <v>149135.97735</v>
      </c>
      <c r="T24" s="298">
        <v>147728.70000000001</v>
      </c>
      <c r="U24" s="298">
        <v>96403</v>
      </c>
    </row>
    <row r="25" spans="1:21">
      <c r="A25" s="50">
        <v>202</v>
      </c>
      <c r="B25" s="51" t="s">
        <v>22</v>
      </c>
      <c r="C25" s="231">
        <v>280000</v>
      </c>
      <c r="D25" s="231">
        <v>279000</v>
      </c>
      <c r="E25" s="231">
        <v>263300</v>
      </c>
      <c r="F25" s="231">
        <v>265600</v>
      </c>
      <c r="G25" s="231">
        <v>253900</v>
      </c>
      <c r="H25" s="231">
        <v>214200</v>
      </c>
      <c r="I25" s="231">
        <v>183500</v>
      </c>
      <c r="J25" s="236">
        <v>165800</v>
      </c>
      <c r="K25" s="236">
        <v>148100</v>
      </c>
      <c r="L25" s="199">
        <v>118400</v>
      </c>
      <c r="M25" s="199">
        <v>91700</v>
      </c>
      <c r="N25" s="300">
        <v>73000</v>
      </c>
      <c r="O25" s="300">
        <v>63000</v>
      </c>
      <c r="P25" s="323">
        <v>63000</v>
      </c>
      <c r="Q25" s="323">
        <v>103000</v>
      </c>
      <c r="R25" s="378">
        <v>143000</v>
      </c>
      <c r="S25" s="300">
        <v>143000</v>
      </c>
      <c r="T25" s="300">
        <v>123000</v>
      </c>
      <c r="U25" s="300">
        <v>125400</v>
      </c>
    </row>
    <row r="26" spans="1:21">
      <c r="A26" s="50">
        <v>205</v>
      </c>
      <c r="B26" s="52" t="s">
        <v>23</v>
      </c>
      <c r="C26" s="231">
        <v>7369</v>
      </c>
      <c r="D26" s="231">
        <v>18849</v>
      </c>
      <c r="E26" s="231">
        <v>17661</v>
      </c>
      <c r="F26" s="231">
        <v>17497</v>
      </c>
      <c r="G26" s="231">
        <v>17360</v>
      </c>
      <c r="H26" s="231">
        <v>19691</v>
      </c>
      <c r="I26" s="231">
        <f>ROUND(16904.1329,0)</f>
        <v>16904</v>
      </c>
      <c r="J26" s="236">
        <v>25025.466489999999</v>
      </c>
      <c r="K26" s="236">
        <v>26209</v>
      </c>
      <c r="L26" s="196">
        <v>21596.772970000002</v>
      </c>
      <c r="M26" s="196">
        <v>21450</v>
      </c>
      <c r="N26" s="298">
        <v>21383.428349999998</v>
      </c>
      <c r="O26" s="298">
        <v>21418.124090000001</v>
      </c>
      <c r="P26" s="322">
        <v>21282.7</v>
      </c>
      <c r="Q26" s="322">
        <v>22781.012989999999</v>
      </c>
      <c r="R26" s="376">
        <v>22618.318569999999</v>
      </c>
      <c r="S26" s="298">
        <v>23484.31698</v>
      </c>
      <c r="T26" s="298">
        <v>29138.2</v>
      </c>
      <c r="U26" s="298">
        <v>115941</v>
      </c>
    </row>
    <row r="27" spans="1:21" ht="6.95" customHeight="1">
      <c r="A27" s="35"/>
      <c r="B27" s="36"/>
      <c r="C27" s="232"/>
      <c r="D27" s="233"/>
      <c r="E27" s="232"/>
      <c r="F27" s="232"/>
      <c r="G27" s="238"/>
      <c r="H27" s="200"/>
      <c r="I27" s="234"/>
      <c r="J27" s="200"/>
      <c r="K27" s="200"/>
      <c r="L27" s="200"/>
      <c r="M27" s="200"/>
      <c r="N27" s="305"/>
      <c r="O27" s="305"/>
      <c r="P27" s="325"/>
      <c r="Q27" s="364"/>
      <c r="R27" s="377"/>
      <c r="S27" s="305"/>
      <c r="T27" s="305"/>
      <c r="U27" s="305"/>
    </row>
    <row r="28" spans="1:21">
      <c r="A28" s="11">
        <v>23</v>
      </c>
      <c r="B28" s="38" t="s">
        <v>24</v>
      </c>
      <c r="C28" s="198">
        <v>15136</v>
      </c>
      <c r="D28" s="198">
        <v>23934</v>
      </c>
      <c r="E28" s="198">
        <v>13932</v>
      </c>
      <c r="F28" s="198">
        <v>14763</v>
      </c>
      <c r="G28" s="198">
        <v>13204</v>
      </c>
      <c r="H28" s="198">
        <v>16864</v>
      </c>
      <c r="I28" s="198">
        <f>ROUND(18841.39793,0)</f>
        <v>18841</v>
      </c>
      <c r="J28" s="198">
        <v>19754.361819999998</v>
      </c>
      <c r="K28" s="198">
        <v>8744</v>
      </c>
      <c r="L28" s="198">
        <v>8981.8105500000001</v>
      </c>
      <c r="M28" s="198">
        <v>9949</v>
      </c>
      <c r="N28" s="313">
        <v>12421.138150000001</v>
      </c>
      <c r="O28" s="313">
        <v>12988.790950000001</v>
      </c>
      <c r="P28" s="313">
        <v>8638.7999999999993</v>
      </c>
      <c r="Q28" s="313">
        <v>17407.432580000001</v>
      </c>
      <c r="R28" s="375">
        <v>7500.79288</v>
      </c>
      <c r="S28" s="388">
        <v>7154.9770799999997</v>
      </c>
      <c r="T28" s="388">
        <v>9315.7000000000007</v>
      </c>
      <c r="U28" s="388"/>
    </row>
    <row r="29" spans="1:21" ht="6.95" customHeight="1">
      <c r="A29" s="53"/>
      <c r="B29" s="40"/>
      <c r="C29" s="229"/>
      <c r="D29" s="230"/>
      <c r="E29" s="229"/>
      <c r="F29" s="229"/>
      <c r="G29" s="213"/>
      <c r="H29" s="196"/>
      <c r="I29" s="196"/>
      <c r="J29" s="196"/>
      <c r="K29" s="196"/>
      <c r="L29" s="196"/>
      <c r="M29" s="196"/>
      <c r="N29" s="298"/>
      <c r="O29" s="298"/>
      <c r="P29" s="322"/>
      <c r="Q29" s="363"/>
      <c r="R29" s="376"/>
      <c r="S29" s="298"/>
      <c r="T29" s="298"/>
      <c r="U29" s="298"/>
    </row>
    <row r="30" spans="1:21">
      <c r="A30" s="11">
        <v>24</v>
      </c>
      <c r="B30" s="38" t="s">
        <v>25</v>
      </c>
      <c r="C30" s="198">
        <v>8873</v>
      </c>
      <c r="D30" s="198">
        <v>7106</v>
      </c>
      <c r="E30" s="198">
        <v>7825</v>
      </c>
      <c r="F30" s="198">
        <v>9713</v>
      </c>
      <c r="G30" s="198">
        <v>22461</v>
      </c>
      <c r="H30" s="198">
        <v>47710</v>
      </c>
      <c r="I30" s="198">
        <f>ROUND(16469.61605,0)</f>
        <v>16470</v>
      </c>
      <c r="J30" s="198">
        <v>19308.383450000001</v>
      </c>
      <c r="K30" s="198">
        <v>13410</v>
      </c>
      <c r="L30" s="198">
        <v>12222.110350000001</v>
      </c>
      <c r="M30" s="198">
        <v>9028</v>
      </c>
      <c r="N30" s="313">
        <v>11355.770200000001</v>
      </c>
      <c r="O30" s="313">
        <v>10980.1</v>
      </c>
      <c r="P30" s="313">
        <v>12659</v>
      </c>
      <c r="Q30" s="313">
        <v>10449.700000000001</v>
      </c>
      <c r="R30" s="375">
        <v>9165.4</v>
      </c>
      <c r="S30" s="388">
        <v>7415.1</v>
      </c>
      <c r="T30" s="388">
        <v>5251.1</v>
      </c>
      <c r="U30" s="388">
        <v>32348</v>
      </c>
    </row>
    <row r="31" spans="1:21" ht="6.95" customHeight="1">
      <c r="A31" s="44"/>
      <c r="B31" s="45"/>
      <c r="C31" s="231"/>
      <c r="D31" s="230"/>
      <c r="E31" s="229"/>
      <c r="F31" s="229"/>
      <c r="G31" s="198"/>
      <c r="H31" s="196"/>
      <c r="I31" s="196"/>
      <c r="J31" s="196"/>
      <c r="K31" s="196"/>
      <c r="L31" s="196"/>
      <c r="M31" s="196"/>
      <c r="N31" s="298"/>
      <c r="O31" s="298"/>
      <c r="P31" s="322"/>
      <c r="Q31" s="363"/>
      <c r="R31" s="376"/>
      <c r="S31" s="298"/>
      <c r="T31" s="298"/>
      <c r="U31" s="298"/>
    </row>
    <row r="32" spans="1:21">
      <c r="A32" s="54">
        <v>28</v>
      </c>
      <c r="B32" s="47" t="s">
        <v>26</v>
      </c>
      <c r="C32" s="198">
        <v>9354</v>
      </c>
      <c r="D32" s="198">
        <v>10413</v>
      </c>
      <c r="E32" s="198">
        <v>10885</v>
      </c>
      <c r="F32" s="198">
        <v>10198</v>
      </c>
      <c r="G32" s="198">
        <v>11537</v>
      </c>
      <c r="H32" s="198">
        <v>11542</v>
      </c>
      <c r="I32" s="198">
        <f>ROUND(26650.30059,0)</f>
        <v>26650</v>
      </c>
      <c r="J32" s="198">
        <v>27567.261399999999</v>
      </c>
      <c r="K32" s="198">
        <v>33936</v>
      </c>
      <c r="L32" s="198">
        <v>28991.77276</v>
      </c>
      <c r="M32" s="198">
        <v>25935</v>
      </c>
      <c r="N32" s="313">
        <v>27009.28255</v>
      </c>
      <c r="O32" s="313">
        <v>27952.884610000001</v>
      </c>
      <c r="P32" s="313">
        <v>28673.1</v>
      </c>
      <c r="Q32" s="313">
        <v>35718.629079999999</v>
      </c>
      <c r="R32" s="375">
        <v>43012.483289999996</v>
      </c>
      <c r="S32" s="388">
        <v>44442.75892</v>
      </c>
      <c r="T32" s="388">
        <v>47590.9</v>
      </c>
      <c r="U32" s="388">
        <v>10262</v>
      </c>
    </row>
    <row r="33" spans="1:21" ht="6.95" customHeight="1">
      <c r="A33" s="53"/>
      <c r="B33" s="40"/>
      <c r="C33" s="229"/>
      <c r="D33" s="230"/>
      <c r="E33" s="229"/>
      <c r="F33" s="229"/>
      <c r="G33" s="198"/>
      <c r="H33" s="196"/>
      <c r="I33" s="196"/>
      <c r="J33" s="196"/>
      <c r="K33" s="196"/>
      <c r="L33" s="196"/>
      <c r="M33" s="196"/>
      <c r="N33" s="298"/>
      <c r="O33" s="298"/>
      <c r="P33" s="322"/>
      <c r="Q33" s="363"/>
      <c r="R33" s="376"/>
      <c r="S33" s="298"/>
      <c r="T33" s="298"/>
      <c r="U33" s="298"/>
    </row>
    <row r="34" spans="1:21">
      <c r="A34" s="11">
        <v>29</v>
      </c>
      <c r="B34" s="38" t="s">
        <v>27</v>
      </c>
      <c r="C34" s="198">
        <v>5426</v>
      </c>
      <c r="D34" s="198">
        <v>10572</v>
      </c>
      <c r="E34" s="198">
        <v>16166</v>
      </c>
      <c r="F34" s="198">
        <v>9342</v>
      </c>
      <c r="G34" s="198">
        <v>17799</v>
      </c>
      <c r="H34" s="198">
        <v>113274</v>
      </c>
      <c r="I34" s="198">
        <f>ROUND(147836.89716,0)</f>
        <v>147837</v>
      </c>
      <c r="J34" s="198">
        <v>174238.04892999999</v>
      </c>
      <c r="K34" s="198">
        <v>191739</v>
      </c>
      <c r="L34" s="198">
        <v>205549.22562000001</v>
      </c>
      <c r="M34" s="198">
        <v>199485</v>
      </c>
      <c r="N34" s="313">
        <v>188036.24486000001</v>
      </c>
      <c r="O34" s="313">
        <v>158141.65909</v>
      </c>
      <c r="P34" s="313">
        <v>140697.5</v>
      </c>
      <c r="Q34" s="313">
        <v>118023.19396</v>
      </c>
      <c r="R34" s="375">
        <v>122986.66013</v>
      </c>
      <c r="S34" s="388">
        <v>172678.54300000001</v>
      </c>
      <c r="T34" s="388">
        <v>258735.5</v>
      </c>
      <c r="U34" s="388">
        <v>464605</v>
      </c>
    </row>
    <row r="35" spans="1:21" ht="6.95" customHeight="1">
      <c r="A35" s="41"/>
      <c r="B35" s="42"/>
      <c r="C35" s="56"/>
      <c r="D35" s="57"/>
      <c r="E35" s="56"/>
      <c r="F35" s="56"/>
      <c r="G35" s="56"/>
      <c r="H35" s="18"/>
      <c r="I35" s="18"/>
      <c r="J35" s="18"/>
      <c r="K35" s="18"/>
      <c r="L35" s="167"/>
      <c r="M35" s="167"/>
      <c r="N35" s="167"/>
      <c r="O35" s="167"/>
      <c r="P35" s="331"/>
      <c r="Q35" s="339"/>
      <c r="R35" s="360"/>
      <c r="S35" s="360"/>
      <c r="T35" s="360"/>
      <c r="U35" s="360"/>
    </row>
    <row r="36" spans="1:21">
      <c r="A36" s="153"/>
      <c r="B36" s="154"/>
      <c r="C36" s="61"/>
      <c r="D36" s="62"/>
      <c r="E36" s="61"/>
      <c r="F36" s="63"/>
      <c r="G36" s="64"/>
      <c r="H36" s="155"/>
      <c r="I36" s="155"/>
      <c r="J36" s="155"/>
      <c r="K36" s="155"/>
      <c r="L36" s="225"/>
      <c r="M36" s="225"/>
      <c r="N36" s="225"/>
      <c r="O36" s="225"/>
      <c r="P36" s="225"/>
      <c r="Q36" s="337"/>
      <c r="R36" s="362"/>
      <c r="S36" s="362"/>
      <c r="T36" s="362"/>
      <c r="U36" s="362"/>
    </row>
    <row r="37" spans="1:21" ht="6.95" customHeight="1"/>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rgb="FFFF0000"/>
  </sheetPr>
  <dimension ref="A1:U63"/>
  <sheetViews>
    <sheetView view="pageLayout" zoomScaleNormal="100" workbookViewId="0">
      <selection activeCell="T81" sqref="T81"/>
    </sheetView>
  </sheetViews>
  <sheetFormatPr baseColWidth="10" defaultRowHeight="12.75"/>
  <cols>
    <col min="1" max="1" width="8.42578125" customWidth="1"/>
    <col min="2" max="2" width="36.140625" customWidth="1"/>
    <col min="3" max="4" width="13" style="96" bestFit="1" customWidth="1"/>
    <col min="5" max="5" width="13.140625" bestFit="1" customWidth="1"/>
    <col min="6" max="7" width="11.28515625" customWidth="1"/>
    <col min="8" max="8" width="11.5703125" customWidth="1"/>
    <col min="9" max="9" width="11.7109375" style="88" customWidth="1"/>
    <col min="10" max="10" width="10.7109375" style="88" customWidth="1"/>
    <col min="11" max="11" width="11.5703125" bestFit="1" customWidth="1"/>
    <col min="12" max="12" width="9.5703125" bestFit="1" customWidth="1"/>
    <col min="13" max="13" width="11.5703125" bestFit="1" customWidth="1"/>
    <col min="18" max="21" width="15.42578125" style="78" bestFit="1" customWidth="1"/>
  </cols>
  <sheetData>
    <row r="1" spans="1:21">
      <c r="A1" s="187" t="s">
        <v>0</v>
      </c>
      <c r="B1" s="12" t="s">
        <v>1</v>
      </c>
      <c r="C1" s="1">
        <v>2000</v>
      </c>
      <c r="D1" s="1">
        <v>2001</v>
      </c>
      <c r="E1" s="1">
        <v>2002</v>
      </c>
      <c r="F1" s="1">
        <v>2003</v>
      </c>
      <c r="G1" s="1">
        <v>2004</v>
      </c>
      <c r="H1" s="1">
        <v>2005</v>
      </c>
      <c r="I1" s="1">
        <v>2006</v>
      </c>
      <c r="J1" s="192">
        <v>2007</v>
      </c>
      <c r="K1" s="192">
        <v>2008</v>
      </c>
      <c r="L1" s="194">
        <v>2009</v>
      </c>
      <c r="M1" s="194">
        <v>2010</v>
      </c>
      <c r="N1" s="194">
        <v>2011</v>
      </c>
      <c r="O1" s="194">
        <v>2012</v>
      </c>
      <c r="P1" s="194">
        <v>2013</v>
      </c>
      <c r="Q1" s="344">
        <v>2014</v>
      </c>
      <c r="R1" s="344">
        <v>2015</v>
      </c>
      <c r="S1" s="344">
        <v>2016</v>
      </c>
      <c r="T1" s="344">
        <v>2017</v>
      </c>
      <c r="U1" s="344">
        <v>2018</v>
      </c>
    </row>
    <row r="2" spans="1:21">
      <c r="A2" s="7" t="s">
        <v>3</v>
      </c>
      <c r="B2" s="8" t="s">
        <v>30</v>
      </c>
      <c r="C2" s="79"/>
      <c r="D2" s="79"/>
      <c r="E2" s="79"/>
      <c r="F2" s="79"/>
      <c r="G2" s="79"/>
      <c r="H2" s="79"/>
      <c r="I2" s="79"/>
      <c r="J2" s="6"/>
      <c r="K2" s="6"/>
      <c r="L2" s="6"/>
      <c r="M2" s="6"/>
      <c r="N2" s="6"/>
      <c r="O2" s="6"/>
      <c r="P2" s="6"/>
      <c r="Q2" s="346"/>
      <c r="R2" s="346"/>
      <c r="S2" s="346"/>
      <c r="T2" s="345"/>
      <c r="U2" s="345"/>
    </row>
    <row r="3" spans="1:21">
      <c r="A3" s="186" t="s">
        <v>31</v>
      </c>
      <c r="B3" s="9"/>
      <c r="C3" s="9" t="s">
        <v>106</v>
      </c>
      <c r="D3" s="9" t="s">
        <v>106</v>
      </c>
      <c r="E3" s="9" t="s">
        <v>106</v>
      </c>
      <c r="F3" s="9" t="s">
        <v>106</v>
      </c>
      <c r="G3" s="9" t="s">
        <v>106</v>
      </c>
      <c r="H3" s="9" t="s">
        <v>106</v>
      </c>
      <c r="I3" s="9" t="s">
        <v>106</v>
      </c>
      <c r="J3" s="9" t="s">
        <v>106</v>
      </c>
      <c r="K3" s="9" t="s">
        <v>106</v>
      </c>
      <c r="L3" s="9" t="s">
        <v>106</v>
      </c>
      <c r="M3" s="9" t="s">
        <v>106</v>
      </c>
      <c r="N3" s="9" t="s">
        <v>106</v>
      </c>
      <c r="O3" s="9" t="s">
        <v>106</v>
      </c>
      <c r="P3" s="9" t="s">
        <v>106</v>
      </c>
      <c r="Q3" s="343" t="s">
        <v>106</v>
      </c>
      <c r="R3" s="343" t="s">
        <v>106</v>
      </c>
      <c r="S3" s="343" t="s">
        <v>4</v>
      </c>
      <c r="T3" s="343" t="s">
        <v>4</v>
      </c>
      <c r="U3" s="343" t="s">
        <v>4</v>
      </c>
    </row>
    <row r="4" spans="1:21">
      <c r="A4" s="11">
        <v>1</v>
      </c>
      <c r="B4" s="12" t="s">
        <v>32</v>
      </c>
      <c r="C4" s="228">
        <f t="shared" ref="C4:H4" si="0">C6+C11+C16+C18</f>
        <v>2928829</v>
      </c>
      <c r="D4" s="228">
        <f t="shared" si="0"/>
        <v>3070943</v>
      </c>
      <c r="E4" s="228">
        <f t="shared" si="0"/>
        <v>2963333</v>
      </c>
      <c r="F4" s="228">
        <f t="shared" si="0"/>
        <v>2911290</v>
      </c>
      <c r="G4" s="228">
        <f t="shared" si="0"/>
        <v>4204263</v>
      </c>
      <c r="H4" s="228">
        <f t="shared" si="0"/>
        <v>3510624</v>
      </c>
      <c r="I4" s="198">
        <f t="shared" ref="I4:O4" si="1">I6+I11+I16+I18</f>
        <v>3371633</v>
      </c>
      <c r="J4" s="198">
        <f t="shared" si="1"/>
        <v>3332115</v>
      </c>
      <c r="K4" s="198">
        <f t="shared" si="1"/>
        <v>3239615</v>
      </c>
      <c r="L4" s="198">
        <f t="shared" si="1"/>
        <v>3246083</v>
      </c>
      <c r="M4" s="198">
        <f t="shared" si="1"/>
        <v>3284028</v>
      </c>
      <c r="N4" s="198">
        <f t="shared" si="1"/>
        <v>3589470.6628899998</v>
      </c>
      <c r="O4" s="198">
        <f t="shared" si="1"/>
        <v>2866709.31158</v>
      </c>
      <c r="P4" s="198">
        <f t="shared" ref="P4:U4" si="2">P6+P11+P16+P18</f>
        <v>2877204.38</v>
      </c>
      <c r="Q4" s="348">
        <f t="shared" si="2"/>
        <v>2910081.5</v>
      </c>
      <c r="R4" s="348">
        <f t="shared" si="2"/>
        <v>3102868.3</v>
      </c>
      <c r="S4" s="348">
        <f t="shared" si="2"/>
        <v>3242432.9</v>
      </c>
      <c r="T4" s="348">
        <f t="shared" si="2"/>
        <v>3459392.95389</v>
      </c>
      <c r="U4" s="348">
        <f t="shared" si="2"/>
        <v>4186628.6292999997</v>
      </c>
    </row>
    <row r="5" spans="1:21">
      <c r="A5" s="14"/>
      <c r="B5" s="15"/>
      <c r="C5" s="229"/>
      <c r="D5" s="230"/>
      <c r="E5" s="229"/>
      <c r="F5" s="229"/>
      <c r="G5" s="27"/>
      <c r="H5" s="196"/>
      <c r="I5" s="196"/>
      <c r="J5" s="196"/>
      <c r="K5" s="196"/>
      <c r="L5" s="196"/>
      <c r="M5" s="196"/>
      <c r="N5" s="196"/>
      <c r="O5" s="196"/>
      <c r="P5" s="196"/>
      <c r="Q5" s="298"/>
      <c r="R5" s="298"/>
      <c r="S5" s="298"/>
      <c r="T5" s="298"/>
      <c r="U5" s="298"/>
    </row>
    <row r="6" spans="1:21">
      <c r="A6" s="19">
        <v>10</v>
      </c>
      <c r="B6" s="12" t="s">
        <v>33</v>
      </c>
      <c r="C6" s="198">
        <f t="shared" ref="C6:H6" si="3">C7+C8+C9</f>
        <v>1113005</v>
      </c>
      <c r="D6" s="198">
        <f t="shared" si="3"/>
        <v>1204581</v>
      </c>
      <c r="E6" s="198">
        <f t="shared" si="3"/>
        <v>1123699</v>
      </c>
      <c r="F6" s="198">
        <f t="shared" si="3"/>
        <v>1132442</v>
      </c>
      <c r="G6" s="198">
        <f t="shared" si="3"/>
        <v>2402026</v>
      </c>
      <c r="H6" s="198">
        <f t="shared" si="3"/>
        <v>1839211</v>
      </c>
      <c r="I6" s="198">
        <f t="shared" ref="I6:O6" si="4">I7+I8+I9</f>
        <v>1859199</v>
      </c>
      <c r="J6" s="198">
        <f t="shared" si="4"/>
        <v>1382376</v>
      </c>
      <c r="K6" s="198">
        <f t="shared" si="4"/>
        <v>1401177</v>
      </c>
      <c r="L6" s="198">
        <f t="shared" si="4"/>
        <v>1487288</v>
      </c>
      <c r="M6" s="198">
        <f t="shared" si="4"/>
        <v>1562970</v>
      </c>
      <c r="N6" s="198">
        <f t="shared" si="4"/>
        <v>1948348.4628900001</v>
      </c>
      <c r="O6" s="198">
        <f t="shared" si="4"/>
        <v>1670057.9849</v>
      </c>
      <c r="P6" s="198">
        <f t="shared" ref="P6:T6" si="5">P7+P8+P9</f>
        <v>1646521.38</v>
      </c>
      <c r="Q6" s="348">
        <f t="shared" si="5"/>
        <v>1677580.1</v>
      </c>
      <c r="R6" s="348">
        <f t="shared" si="5"/>
        <v>1918988</v>
      </c>
      <c r="S6" s="348">
        <f t="shared" si="5"/>
        <v>2086532.2</v>
      </c>
      <c r="T6" s="348">
        <f t="shared" si="5"/>
        <v>2297997.3445700002</v>
      </c>
      <c r="U6" s="348">
        <f>U7+U8+U9</f>
        <v>2170261.8014799999</v>
      </c>
    </row>
    <row r="7" spans="1:21">
      <c r="A7" s="20" t="s">
        <v>7</v>
      </c>
      <c r="B7" s="21" t="s">
        <v>34</v>
      </c>
      <c r="C7" s="231">
        <v>471477</v>
      </c>
      <c r="D7" s="231">
        <v>490738</v>
      </c>
      <c r="E7" s="231">
        <v>459328</v>
      </c>
      <c r="F7" s="231">
        <v>592853</v>
      </c>
      <c r="G7" s="231">
        <v>494991</v>
      </c>
      <c r="H7" s="231">
        <v>591085</v>
      </c>
      <c r="I7" s="231">
        <v>569827</v>
      </c>
      <c r="J7" s="231">
        <f>48250+533220</f>
        <v>581470</v>
      </c>
      <c r="K7" s="231">
        <v>792269</v>
      </c>
      <c r="L7" s="196">
        <f>49213+810137</f>
        <v>859350</v>
      </c>
      <c r="M7" s="196">
        <v>905740</v>
      </c>
      <c r="N7" s="298">
        <v>1252114.66289</v>
      </c>
      <c r="O7" s="298">
        <f>49383.417+887904.715</f>
        <v>937288.13199999998</v>
      </c>
      <c r="P7" s="322">
        <f>59919.6+966261.4</f>
        <v>1026181</v>
      </c>
      <c r="Q7" s="322">
        <f>77985.5+1010259.8</f>
        <v>1088245.3</v>
      </c>
      <c r="R7" s="389">
        <v>1261194.6000000001</v>
      </c>
      <c r="S7" s="298">
        <v>1285284.7</v>
      </c>
      <c r="T7" s="298">
        <v>1356228.6016500001</v>
      </c>
      <c r="U7" s="298">
        <v>1342806.6626500001</v>
      </c>
    </row>
    <row r="8" spans="1:21">
      <c r="A8" s="25">
        <v>102</v>
      </c>
      <c r="B8" s="26" t="s">
        <v>35</v>
      </c>
      <c r="C8" s="231">
        <v>25593</v>
      </c>
      <c r="D8" s="231">
        <v>25384</v>
      </c>
      <c r="E8" s="231">
        <v>33186</v>
      </c>
      <c r="F8" s="231">
        <v>35889</v>
      </c>
      <c r="G8" s="231">
        <v>32848</v>
      </c>
      <c r="H8" s="231">
        <v>523119</v>
      </c>
      <c r="I8" s="231">
        <v>537813</v>
      </c>
      <c r="J8" s="231">
        <v>27632</v>
      </c>
      <c r="K8" s="231">
        <v>39766</v>
      </c>
      <c r="L8" s="199">
        <v>29869</v>
      </c>
      <c r="M8" s="199">
        <v>29480</v>
      </c>
      <c r="N8" s="300">
        <v>24101.7</v>
      </c>
      <c r="O8" s="300">
        <v>27403.669999999995</v>
      </c>
      <c r="P8" s="323">
        <v>27535.48</v>
      </c>
      <c r="Q8" s="323">
        <v>27815.5</v>
      </c>
      <c r="R8" s="391">
        <v>117013.2</v>
      </c>
      <c r="S8" s="300">
        <v>278691.7</v>
      </c>
      <c r="T8" s="300">
        <v>400321.30504000001</v>
      </c>
      <c r="U8" s="300">
        <v>426730.16152999998</v>
      </c>
    </row>
    <row r="9" spans="1:21">
      <c r="A9" s="25">
        <v>103</v>
      </c>
      <c r="B9" s="26" t="s">
        <v>36</v>
      </c>
      <c r="C9" s="231">
        <v>615935</v>
      </c>
      <c r="D9" s="231">
        <v>688459</v>
      </c>
      <c r="E9" s="231">
        <v>631185</v>
      </c>
      <c r="F9" s="231">
        <v>503700</v>
      </c>
      <c r="G9" s="231">
        <v>1874187</v>
      </c>
      <c r="H9" s="231">
        <v>725007</v>
      </c>
      <c r="I9" s="231">
        <v>751559</v>
      </c>
      <c r="J9" s="231">
        <v>773274</v>
      </c>
      <c r="K9" s="231">
        <v>569142</v>
      </c>
      <c r="L9" s="196">
        <v>598069</v>
      </c>
      <c r="M9" s="196">
        <v>627750</v>
      </c>
      <c r="N9" s="298">
        <v>672132.1</v>
      </c>
      <c r="O9" s="298">
        <v>705366.18290000001</v>
      </c>
      <c r="P9" s="322">
        <v>592804.9</v>
      </c>
      <c r="Q9" s="322">
        <v>561519.30000000005</v>
      </c>
      <c r="R9" s="389">
        <v>540780.19999999995</v>
      </c>
      <c r="S9" s="298">
        <v>522555.8</v>
      </c>
      <c r="T9" s="298">
        <v>541447.43787999998</v>
      </c>
      <c r="U9" s="298">
        <v>400724.97730000003</v>
      </c>
    </row>
    <row r="10" spans="1:21">
      <c r="A10" s="28"/>
      <c r="B10" s="29"/>
      <c r="C10" s="232"/>
      <c r="D10" s="233"/>
      <c r="E10" s="232"/>
      <c r="F10" s="232"/>
      <c r="G10" s="27"/>
      <c r="H10" s="196"/>
      <c r="I10" s="196"/>
      <c r="J10" s="196"/>
      <c r="K10" s="196"/>
      <c r="L10" s="196"/>
      <c r="M10" s="196"/>
      <c r="N10" s="196"/>
      <c r="O10" s="196"/>
      <c r="P10" s="324"/>
      <c r="Q10" s="322"/>
      <c r="R10" s="389"/>
      <c r="S10" s="298"/>
      <c r="T10" s="298"/>
      <c r="U10" s="298"/>
    </row>
    <row r="11" spans="1:21">
      <c r="A11" s="19">
        <v>11</v>
      </c>
      <c r="B11" s="12" t="s">
        <v>37</v>
      </c>
      <c r="C11" s="198">
        <f t="shared" ref="C11:H11" si="6">C12+C13+C14</f>
        <v>1732062</v>
      </c>
      <c r="D11" s="198">
        <f t="shared" si="6"/>
        <v>1766329</v>
      </c>
      <c r="E11" s="198">
        <f t="shared" si="6"/>
        <v>1753617</v>
      </c>
      <c r="F11" s="198">
        <f t="shared" si="6"/>
        <v>1711188</v>
      </c>
      <c r="G11" s="198">
        <f t="shared" si="6"/>
        <v>1720740</v>
      </c>
      <c r="H11" s="198">
        <f t="shared" si="6"/>
        <v>1614883</v>
      </c>
      <c r="I11" s="198">
        <f t="shared" ref="I11:O11" si="7">I12+I13+I14</f>
        <v>1482745</v>
      </c>
      <c r="J11" s="198">
        <f t="shared" si="7"/>
        <v>1379394</v>
      </c>
      <c r="K11" s="198">
        <f t="shared" si="7"/>
        <v>1288243</v>
      </c>
      <c r="L11" s="198">
        <f t="shared" si="7"/>
        <v>1254923</v>
      </c>
      <c r="M11" s="198">
        <f t="shared" si="7"/>
        <v>1229372</v>
      </c>
      <c r="N11" s="198">
        <f t="shared" si="7"/>
        <v>1195623.8</v>
      </c>
      <c r="O11" s="198">
        <f t="shared" si="7"/>
        <v>1195848.2281799999</v>
      </c>
      <c r="P11" s="198">
        <f t="shared" ref="P11:U11" si="8">P12+P13+P14</f>
        <v>1224941.7</v>
      </c>
      <c r="Q11" s="348">
        <f t="shared" si="8"/>
        <v>1225252.5</v>
      </c>
      <c r="R11" s="348">
        <f t="shared" si="8"/>
        <v>1176384.3</v>
      </c>
      <c r="S11" s="348">
        <f t="shared" si="8"/>
        <v>1148482.1000000001</v>
      </c>
      <c r="T11" s="348">
        <f t="shared" si="8"/>
        <v>1145351.34198</v>
      </c>
      <c r="U11" s="348">
        <f t="shared" si="8"/>
        <v>2015813.95484</v>
      </c>
    </row>
    <row r="12" spans="1:21">
      <c r="A12" s="32">
        <v>114</v>
      </c>
      <c r="B12" s="21" t="s">
        <v>38</v>
      </c>
      <c r="C12" s="231">
        <v>452201</v>
      </c>
      <c r="D12" s="231">
        <v>474231</v>
      </c>
      <c r="E12" s="231">
        <v>480585</v>
      </c>
      <c r="F12" s="231">
        <v>487862</v>
      </c>
      <c r="G12" s="231">
        <v>522505</v>
      </c>
      <c r="H12" s="231">
        <v>481581</v>
      </c>
      <c r="I12" s="231">
        <v>476377</v>
      </c>
      <c r="J12" s="231">
        <v>605051</v>
      </c>
      <c r="K12" s="231">
        <v>574811</v>
      </c>
      <c r="L12" s="196">
        <v>577323</v>
      </c>
      <c r="M12" s="196">
        <v>583360</v>
      </c>
      <c r="N12" s="298">
        <v>596444.6</v>
      </c>
      <c r="O12" s="298">
        <v>609509.30508999992</v>
      </c>
      <c r="P12" s="322">
        <v>601718.80000000005</v>
      </c>
      <c r="Q12" s="322">
        <v>580952</v>
      </c>
      <c r="R12" s="389">
        <v>557404.5</v>
      </c>
      <c r="S12" s="298">
        <v>524993.4</v>
      </c>
      <c r="T12" s="298">
        <v>504107.25140000001</v>
      </c>
      <c r="U12" s="298">
        <v>491112.30739999999</v>
      </c>
    </row>
    <row r="13" spans="1:21">
      <c r="A13" s="25">
        <v>115</v>
      </c>
      <c r="B13" s="26" t="s">
        <v>39</v>
      </c>
      <c r="C13" s="231">
        <v>915459</v>
      </c>
      <c r="D13" s="231">
        <v>924420</v>
      </c>
      <c r="E13" s="231">
        <v>916004</v>
      </c>
      <c r="F13" s="231">
        <v>911684</v>
      </c>
      <c r="G13" s="231">
        <v>886098</v>
      </c>
      <c r="H13" s="231">
        <v>872994</v>
      </c>
      <c r="I13" s="231">
        <v>854992</v>
      </c>
      <c r="J13" s="231">
        <v>650668</v>
      </c>
      <c r="K13" s="231">
        <v>615196</v>
      </c>
      <c r="L13" s="199">
        <v>574774</v>
      </c>
      <c r="M13" s="199">
        <v>535931</v>
      </c>
      <c r="N13" s="300">
        <v>492354.2</v>
      </c>
      <c r="O13" s="300">
        <v>469203.72008999996</v>
      </c>
      <c r="P13" s="323">
        <v>473476</v>
      </c>
      <c r="Q13" s="323">
        <f>475120.4</f>
        <v>475120.4</v>
      </c>
      <c r="R13" s="391">
        <v>432077.4</v>
      </c>
      <c r="S13" s="300">
        <v>426133.1</v>
      </c>
      <c r="T13" s="300">
        <v>429340.42858000001</v>
      </c>
      <c r="U13" s="300">
        <v>1301090.45744</v>
      </c>
    </row>
    <row r="14" spans="1:21">
      <c r="A14" s="33" t="s">
        <v>14</v>
      </c>
      <c r="B14" s="34" t="s">
        <v>40</v>
      </c>
      <c r="C14" s="231">
        <v>364402</v>
      </c>
      <c r="D14" s="231">
        <v>367678</v>
      </c>
      <c r="E14" s="231">
        <v>357028</v>
      </c>
      <c r="F14" s="231">
        <v>311642</v>
      </c>
      <c r="G14" s="231">
        <v>312137</v>
      </c>
      <c r="H14" s="231">
        <v>260308</v>
      </c>
      <c r="I14" s="231">
        <v>151376</v>
      </c>
      <c r="J14" s="231">
        <v>123675</v>
      </c>
      <c r="K14" s="231">
        <v>98236</v>
      </c>
      <c r="L14" s="196">
        <v>102826</v>
      </c>
      <c r="M14" s="196">
        <v>110081</v>
      </c>
      <c r="N14" s="298">
        <v>106825</v>
      </c>
      <c r="O14" s="298">
        <v>117135.20299999999</v>
      </c>
      <c r="P14" s="322">
        <v>149746.9</v>
      </c>
      <c r="Q14" s="363">
        <v>169180.1</v>
      </c>
      <c r="R14" s="389">
        <v>186902.39999999999</v>
      </c>
      <c r="S14" s="298">
        <v>197355.6</v>
      </c>
      <c r="T14" s="298">
        <v>211903.66200000001</v>
      </c>
      <c r="U14" s="298">
        <v>223611.19</v>
      </c>
    </row>
    <row r="15" spans="1:21">
      <c r="A15" s="35"/>
      <c r="B15" s="36"/>
      <c r="C15" s="232"/>
      <c r="D15" s="233"/>
      <c r="E15" s="232"/>
      <c r="F15" s="232"/>
      <c r="G15" s="27"/>
      <c r="H15" s="200"/>
      <c r="I15" s="234"/>
      <c r="J15" s="234"/>
      <c r="K15" s="234"/>
      <c r="L15" s="200"/>
      <c r="M15" s="200"/>
      <c r="N15" s="305"/>
      <c r="O15" s="305"/>
      <c r="P15" s="325"/>
      <c r="Q15" s="325"/>
      <c r="R15" s="390"/>
      <c r="S15" s="305"/>
      <c r="T15" s="305"/>
      <c r="U15" s="305"/>
    </row>
    <row r="16" spans="1:21">
      <c r="A16" s="11">
        <v>12</v>
      </c>
      <c r="B16" s="38" t="s">
        <v>41</v>
      </c>
      <c r="C16" s="198">
        <v>83762</v>
      </c>
      <c r="D16" s="198">
        <v>100033</v>
      </c>
      <c r="E16" s="198">
        <v>86017</v>
      </c>
      <c r="F16" s="198">
        <v>67660</v>
      </c>
      <c r="G16" s="198">
        <v>81497</v>
      </c>
      <c r="H16" s="198">
        <v>56530</v>
      </c>
      <c r="I16" s="198">
        <v>29689</v>
      </c>
      <c r="J16" s="198">
        <v>570345</v>
      </c>
      <c r="K16" s="198">
        <v>550195</v>
      </c>
      <c r="L16" s="198">
        <v>503872</v>
      </c>
      <c r="M16" s="198">
        <v>491686</v>
      </c>
      <c r="N16" s="313">
        <v>445498.4</v>
      </c>
      <c r="O16" s="313">
        <v>803.09849999999994</v>
      </c>
      <c r="P16" s="313">
        <v>5741.3</v>
      </c>
      <c r="Q16" s="313">
        <v>7248.9</v>
      </c>
      <c r="R16" s="388">
        <v>7496</v>
      </c>
      <c r="S16" s="388">
        <v>7418.6</v>
      </c>
      <c r="T16" s="388">
        <v>16044.26734</v>
      </c>
      <c r="U16" s="388">
        <v>552.87297999999998</v>
      </c>
    </row>
    <row r="17" spans="1:21">
      <c r="A17" s="39"/>
      <c r="B17" s="40"/>
      <c r="C17" s="229"/>
      <c r="D17" s="230"/>
      <c r="E17" s="229"/>
      <c r="F17" s="229"/>
      <c r="G17" s="235"/>
      <c r="H17" s="196"/>
      <c r="I17" s="196"/>
      <c r="J17" s="196"/>
      <c r="K17" s="196"/>
      <c r="L17" s="196"/>
      <c r="M17" s="196"/>
      <c r="N17" s="298"/>
      <c r="O17" s="298"/>
      <c r="P17" s="298"/>
      <c r="Q17" s="298"/>
      <c r="R17" s="298"/>
      <c r="S17" s="298"/>
      <c r="T17" s="298"/>
      <c r="U17" s="298"/>
    </row>
    <row r="18" spans="1:21">
      <c r="A18" s="11">
        <v>13</v>
      </c>
      <c r="B18" s="38" t="s">
        <v>42</v>
      </c>
      <c r="C18" s="198">
        <v>0</v>
      </c>
      <c r="D18" s="198">
        <v>0</v>
      </c>
      <c r="E18" s="198">
        <v>0</v>
      </c>
      <c r="F18" s="198">
        <v>0</v>
      </c>
      <c r="G18" s="198">
        <v>0</v>
      </c>
      <c r="H18" s="198">
        <v>0</v>
      </c>
      <c r="I18" s="198">
        <v>0</v>
      </c>
      <c r="J18" s="198">
        <v>0</v>
      </c>
      <c r="K18" s="198">
        <v>0</v>
      </c>
      <c r="L18" s="198">
        <v>0</v>
      </c>
      <c r="M18" s="198">
        <v>0</v>
      </c>
      <c r="N18" s="313">
        <v>0</v>
      </c>
      <c r="O18" s="313">
        <v>0</v>
      </c>
      <c r="P18" s="313">
        <v>0</v>
      </c>
      <c r="Q18" s="313"/>
      <c r="R18" s="313"/>
      <c r="S18" s="388">
        <v>0</v>
      </c>
      <c r="T18" s="388"/>
      <c r="U18" s="388">
        <v>0</v>
      </c>
    </row>
    <row r="19" spans="1:21">
      <c r="A19" s="41"/>
      <c r="B19" s="42"/>
      <c r="C19" s="236"/>
      <c r="D19" s="237"/>
      <c r="E19" s="236"/>
      <c r="F19" s="236"/>
      <c r="G19" s="24"/>
      <c r="H19" s="196"/>
      <c r="I19" s="196"/>
      <c r="J19" s="196"/>
      <c r="K19" s="196"/>
      <c r="L19" s="196"/>
      <c r="M19" s="196"/>
      <c r="N19" s="298"/>
      <c r="O19" s="298"/>
      <c r="P19" s="298"/>
      <c r="Q19" s="298"/>
      <c r="R19" s="298"/>
      <c r="S19" s="298"/>
      <c r="T19" s="298"/>
      <c r="U19" s="298"/>
    </row>
    <row r="20" spans="1:21">
      <c r="A20" s="43"/>
      <c r="B20" s="36"/>
      <c r="C20" s="232"/>
      <c r="D20" s="233"/>
      <c r="E20" s="232"/>
      <c r="F20" s="232"/>
      <c r="G20" s="238"/>
      <c r="H20" s="200"/>
      <c r="I20" s="234"/>
      <c r="J20" s="234"/>
      <c r="K20" s="234"/>
      <c r="L20" s="200"/>
      <c r="M20" s="200"/>
      <c r="N20" s="305"/>
      <c r="O20" s="305"/>
      <c r="P20" s="305"/>
      <c r="Q20" s="305"/>
      <c r="R20" s="305"/>
      <c r="S20" s="305"/>
      <c r="T20" s="305"/>
      <c r="U20" s="305"/>
    </row>
    <row r="21" spans="1:21">
      <c r="A21" s="11">
        <v>2</v>
      </c>
      <c r="B21" s="38" t="s">
        <v>43</v>
      </c>
      <c r="C21" s="198">
        <f t="shared" ref="C21:H21" si="9">C23+C28+C30+C32+C34</f>
        <v>2928829</v>
      </c>
      <c r="D21" s="198">
        <f t="shared" si="9"/>
        <v>3070943</v>
      </c>
      <c r="E21" s="198">
        <f t="shared" si="9"/>
        <v>2963333</v>
      </c>
      <c r="F21" s="198">
        <f t="shared" si="9"/>
        <v>2911290</v>
      </c>
      <c r="G21" s="198">
        <f t="shared" si="9"/>
        <v>4204263</v>
      </c>
      <c r="H21" s="198">
        <f t="shared" si="9"/>
        <v>3510624</v>
      </c>
      <c r="I21" s="198">
        <f t="shared" ref="I21:O21" si="10">I23+I28+I30+I32+I34</f>
        <v>3371633</v>
      </c>
      <c r="J21" s="198">
        <f t="shared" si="10"/>
        <v>3332115</v>
      </c>
      <c r="K21" s="198">
        <f t="shared" si="10"/>
        <v>3239615</v>
      </c>
      <c r="L21" s="198">
        <f t="shared" si="10"/>
        <v>3246083</v>
      </c>
      <c r="M21" s="198">
        <f t="shared" si="10"/>
        <v>3284028</v>
      </c>
      <c r="N21" s="198">
        <f t="shared" si="10"/>
        <v>3323569.3000000003</v>
      </c>
      <c r="O21" s="198">
        <f t="shared" si="10"/>
        <v>2866709.3116100002</v>
      </c>
      <c r="P21" s="198">
        <f t="shared" ref="P21:Q21" si="11">P23+P28+P30+P32+P34</f>
        <v>2877204.0999999996</v>
      </c>
      <c r="Q21" s="348">
        <f t="shared" si="11"/>
        <v>2910081.6</v>
      </c>
      <c r="R21" s="348">
        <f>R23+R28+R30+R32+R34</f>
        <v>3102868.2999999993</v>
      </c>
      <c r="S21" s="348">
        <f>S23+S28+S30+S32+S34</f>
        <v>3242432.9</v>
      </c>
      <c r="T21" s="348">
        <f>T23+T28+T30+T32+T34</f>
        <v>3459392.9538899991</v>
      </c>
      <c r="U21" s="348">
        <f t="shared" ref="U21" si="12">U23+U28+U30+U32+U34</f>
        <v>4186628.6292999997</v>
      </c>
    </row>
    <row r="22" spans="1:21">
      <c r="A22" s="44"/>
      <c r="B22" s="45"/>
      <c r="C22" s="229"/>
      <c r="D22" s="230"/>
      <c r="E22" s="229"/>
      <c r="F22" s="229"/>
      <c r="G22" s="24"/>
      <c r="H22" s="196"/>
      <c r="I22" s="196"/>
      <c r="J22" s="196"/>
      <c r="K22" s="196"/>
      <c r="L22" s="196"/>
      <c r="M22" s="196"/>
      <c r="N22" s="196"/>
      <c r="O22" s="196"/>
      <c r="P22" s="196"/>
      <c r="Q22" s="298"/>
      <c r="R22" s="298"/>
      <c r="S22" s="298"/>
      <c r="T22" s="298"/>
      <c r="U22" s="298"/>
    </row>
    <row r="23" spans="1:21">
      <c r="A23" s="46">
        <v>20</v>
      </c>
      <c r="B23" s="47" t="s">
        <v>44</v>
      </c>
      <c r="C23" s="198">
        <f>C24+C25+C26</f>
        <v>2556578</v>
      </c>
      <c r="D23" s="198">
        <f>SUM(D24:D26)</f>
        <v>2805459</v>
      </c>
      <c r="E23" s="198">
        <f>SUM(E24:E26)</f>
        <v>2686402</v>
      </c>
      <c r="F23" s="198">
        <f t="shared" ref="F23:L23" si="13">F24+F25+F26</f>
        <v>2629830</v>
      </c>
      <c r="G23" s="198">
        <f t="shared" si="13"/>
        <v>2663030</v>
      </c>
      <c r="H23" s="198">
        <f t="shared" si="13"/>
        <v>1901186</v>
      </c>
      <c r="I23" s="198">
        <f t="shared" si="13"/>
        <v>1712904</v>
      </c>
      <c r="J23" s="198">
        <f t="shared" si="13"/>
        <v>1575618</v>
      </c>
      <c r="K23" s="198">
        <f t="shared" si="13"/>
        <v>1382949</v>
      </c>
      <c r="L23" s="198">
        <f t="shared" si="13"/>
        <v>1356884</v>
      </c>
      <c r="M23" s="198">
        <f t="shared" ref="M23:R23" si="14">M24+M25+M26</f>
        <v>1599728</v>
      </c>
      <c r="N23" s="198">
        <f t="shared" si="14"/>
        <v>1541346.6</v>
      </c>
      <c r="O23" s="198">
        <f t="shared" si="14"/>
        <v>2073402.3409800001</v>
      </c>
      <c r="P23" s="198">
        <f t="shared" si="14"/>
        <v>2157258.9</v>
      </c>
      <c r="Q23" s="348">
        <f t="shared" si="14"/>
        <v>2277231.3000000003</v>
      </c>
      <c r="R23" s="348">
        <f t="shared" si="14"/>
        <v>2350778.5999999996</v>
      </c>
      <c r="S23" s="348">
        <f>S24+S25+S26</f>
        <v>2377457.9</v>
      </c>
      <c r="T23" s="348">
        <f>T24+T25+T26</f>
        <v>2385246.0370499995</v>
      </c>
      <c r="U23" s="348">
        <f t="shared" ref="U23" si="15">U24+U25+U26</f>
        <v>2152285.0201599998</v>
      </c>
    </row>
    <row r="24" spans="1:21">
      <c r="A24" s="48" t="s">
        <v>20</v>
      </c>
      <c r="B24" s="49" t="s">
        <v>45</v>
      </c>
      <c r="C24" s="231">
        <f>309451+513028</f>
        <v>822479</v>
      </c>
      <c r="D24" s="231">
        <f>277857+710516</f>
        <v>988373</v>
      </c>
      <c r="E24" s="231">
        <f>295026+567695</f>
        <v>862721</v>
      </c>
      <c r="F24" s="231">
        <v>905666</v>
      </c>
      <c r="G24" s="231">
        <v>908944</v>
      </c>
      <c r="H24" s="231">
        <v>387150</v>
      </c>
      <c r="I24" s="231">
        <v>440516</v>
      </c>
      <c r="J24" s="231">
        <f>437686+113012</f>
        <v>550698</v>
      </c>
      <c r="K24" s="231">
        <v>564581</v>
      </c>
      <c r="L24" s="196">
        <f>608244+267721</f>
        <v>875965</v>
      </c>
      <c r="M24" s="196">
        <v>900751</v>
      </c>
      <c r="N24" s="298">
        <v>798586</v>
      </c>
      <c r="O24" s="298">
        <f>721222.54+103385.527+2.49</f>
        <v>824610.55700000003</v>
      </c>
      <c r="P24" s="322">
        <f>782539.8+152203.8</f>
        <v>934743.60000000009</v>
      </c>
      <c r="Q24" s="322">
        <v>1023964.7</v>
      </c>
      <c r="R24" s="389">
        <v>1228337.2</v>
      </c>
      <c r="S24" s="298">
        <v>1288127.7</v>
      </c>
      <c r="T24" s="298">
        <v>1297873.9956799999</v>
      </c>
      <c r="U24" s="298">
        <v>896393.22672000004</v>
      </c>
    </row>
    <row r="25" spans="1:21">
      <c r="A25" s="50">
        <v>202</v>
      </c>
      <c r="B25" s="51" t="s">
        <v>46</v>
      </c>
      <c r="C25" s="231">
        <v>1527225</v>
      </c>
      <c r="D25" s="231">
        <v>1592246</v>
      </c>
      <c r="E25" s="231">
        <v>1644683</v>
      </c>
      <c r="F25" s="231">
        <v>1558492</v>
      </c>
      <c r="G25" s="231">
        <v>1526406</v>
      </c>
      <c r="H25" s="231">
        <v>1327108</v>
      </c>
      <c r="I25" s="231">
        <v>1086344</v>
      </c>
      <c r="J25" s="231">
        <v>816975</v>
      </c>
      <c r="K25" s="231">
        <v>602544</v>
      </c>
      <c r="L25" s="199">
        <v>256559</v>
      </c>
      <c r="M25" s="199">
        <v>491809</v>
      </c>
      <c r="N25" s="300">
        <v>460617.7</v>
      </c>
      <c r="O25" s="300">
        <v>990194.41646000009</v>
      </c>
      <c r="P25" s="323">
        <v>965850.5</v>
      </c>
      <c r="Q25" s="323">
        <v>951000.9</v>
      </c>
      <c r="R25" s="391">
        <v>858954.1</v>
      </c>
      <c r="S25" s="300">
        <v>841470.4</v>
      </c>
      <c r="T25" s="300">
        <v>826995.10835999995</v>
      </c>
      <c r="U25" s="300">
        <v>812964.46120999998</v>
      </c>
    </row>
    <row r="26" spans="1:21">
      <c r="A26" s="50">
        <v>205</v>
      </c>
      <c r="B26" s="52" t="s">
        <v>47</v>
      </c>
      <c r="C26" s="231">
        <v>206874</v>
      </c>
      <c r="D26" s="231">
        <v>224840</v>
      </c>
      <c r="E26" s="231">
        <v>178998</v>
      </c>
      <c r="F26" s="231">
        <v>165672</v>
      </c>
      <c r="G26" s="231">
        <v>227680</v>
      </c>
      <c r="H26" s="231">
        <v>186928</v>
      </c>
      <c r="I26" s="231">
        <v>186044</v>
      </c>
      <c r="J26" s="231">
        <v>207945</v>
      </c>
      <c r="K26" s="231">
        <v>215824</v>
      </c>
      <c r="L26" s="196">
        <v>224360</v>
      </c>
      <c r="M26" s="196">
        <v>207168</v>
      </c>
      <c r="N26" s="298">
        <v>282142.90000000002</v>
      </c>
      <c r="O26" s="298">
        <v>258597.36752</v>
      </c>
      <c r="P26" s="322">
        <v>256664.8</v>
      </c>
      <c r="Q26" s="322">
        <v>302265.7</v>
      </c>
      <c r="R26" s="389">
        <v>263487.3</v>
      </c>
      <c r="S26" s="298">
        <v>247859.8</v>
      </c>
      <c r="T26" s="298">
        <v>260376.93301000001</v>
      </c>
      <c r="U26" s="298">
        <v>442927.33223</v>
      </c>
    </row>
    <row r="27" spans="1:21">
      <c r="A27" s="35"/>
      <c r="B27" s="36"/>
      <c r="C27" s="232"/>
      <c r="D27" s="233"/>
      <c r="E27" s="232"/>
      <c r="F27" s="232"/>
      <c r="G27" s="238"/>
      <c r="H27" s="200"/>
      <c r="I27" s="234"/>
      <c r="J27" s="234"/>
      <c r="K27" s="234"/>
      <c r="L27" s="200"/>
      <c r="M27" s="200"/>
      <c r="N27" s="305"/>
      <c r="O27" s="305"/>
      <c r="P27" s="325"/>
      <c r="Q27" s="325"/>
      <c r="R27" s="390"/>
      <c r="S27" s="305"/>
      <c r="T27" s="305"/>
      <c r="U27" s="305"/>
    </row>
    <row r="28" spans="1:21">
      <c r="A28" s="11">
        <v>23</v>
      </c>
      <c r="B28" s="38" t="s">
        <v>48</v>
      </c>
      <c r="C28" s="198">
        <v>21740</v>
      </c>
      <c r="D28" s="198">
        <v>22140</v>
      </c>
      <c r="E28" s="198">
        <v>23164</v>
      </c>
      <c r="F28" s="198">
        <v>24232</v>
      </c>
      <c r="G28" s="198">
        <v>24131</v>
      </c>
      <c r="H28" s="198">
        <v>23078</v>
      </c>
      <c r="I28" s="198">
        <v>23107</v>
      </c>
      <c r="J28" s="198">
        <v>22916</v>
      </c>
      <c r="K28" s="198">
        <v>19896</v>
      </c>
      <c r="L28" s="198">
        <v>20282</v>
      </c>
      <c r="M28" s="198">
        <v>20716</v>
      </c>
      <c r="N28" s="313">
        <v>20534.400000000001</v>
      </c>
      <c r="O28" s="313">
        <v>23087.807049999999</v>
      </c>
      <c r="P28" s="313">
        <v>17456.599999999999</v>
      </c>
      <c r="Q28" s="313">
        <v>17199.099999999999</v>
      </c>
      <c r="R28" s="388">
        <v>14885.4</v>
      </c>
      <c r="S28" s="388">
        <v>14550.8</v>
      </c>
      <c r="T28" s="388">
        <v>14898.06964</v>
      </c>
      <c r="U28" s="388"/>
    </row>
    <row r="29" spans="1:21">
      <c r="A29" s="53"/>
      <c r="B29" s="40"/>
      <c r="C29" s="229"/>
      <c r="D29" s="230"/>
      <c r="E29" s="229"/>
      <c r="F29" s="229"/>
      <c r="G29" s="213"/>
      <c r="H29" s="196"/>
      <c r="I29" s="196"/>
      <c r="J29" s="196"/>
      <c r="K29" s="196"/>
      <c r="L29" s="196"/>
      <c r="M29" s="196"/>
      <c r="N29" s="298"/>
      <c r="O29" s="298"/>
      <c r="P29" s="322"/>
      <c r="Q29" s="322"/>
      <c r="R29" s="389"/>
      <c r="S29" s="298"/>
      <c r="T29" s="298"/>
      <c r="U29" s="298"/>
    </row>
    <row r="30" spans="1:21">
      <c r="A30" s="11">
        <v>24</v>
      </c>
      <c r="B30" s="38" t="s">
        <v>49</v>
      </c>
      <c r="C30" s="198">
        <v>22128</v>
      </c>
      <c r="D30" s="198">
        <v>22403</v>
      </c>
      <c r="E30" s="198">
        <v>14081</v>
      </c>
      <c r="F30" s="198">
        <v>14190</v>
      </c>
      <c r="G30" s="198">
        <v>20482</v>
      </c>
      <c r="H30" s="198">
        <v>17489</v>
      </c>
      <c r="I30" s="198">
        <v>17271</v>
      </c>
      <c r="J30" s="198">
        <v>17815</v>
      </c>
      <c r="K30" s="198">
        <v>29230</v>
      </c>
      <c r="L30" s="198">
        <v>42065</v>
      </c>
      <c r="M30" s="198">
        <v>40668</v>
      </c>
      <c r="N30" s="313">
        <v>40348.1</v>
      </c>
      <c r="O30" s="313">
        <v>44050.030869999995</v>
      </c>
      <c r="P30" s="313">
        <v>50239.6</v>
      </c>
      <c r="Q30" s="313">
        <v>66508.3</v>
      </c>
      <c r="R30" s="388">
        <v>82477.899999999994</v>
      </c>
      <c r="S30" s="388">
        <v>103216.8</v>
      </c>
      <c r="T30" s="388">
        <v>139006.79762</v>
      </c>
      <c r="U30" s="388">
        <v>1130495.06855</v>
      </c>
    </row>
    <row r="31" spans="1:21">
      <c r="A31" s="44"/>
      <c r="B31" s="45"/>
      <c r="C31" s="231"/>
      <c r="D31" s="230"/>
      <c r="E31" s="229"/>
      <c r="F31" s="229"/>
      <c r="G31" s="198"/>
      <c r="H31" s="196"/>
      <c r="I31" s="196"/>
      <c r="J31" s="196"/>
      <c r="K31" s="196"/>
      <c r="L31" s="196"/>
      <c r="M31" s="196"/>
      <c r="N31" s="298"/>
      <c r="O31" s="298"/>
      <c r="P31" s="322"/>
      <c r="Q31" s="322"/>
      <c r="R31" s="389"/>
      <c r="S31" s="298"/>
      <c r="T31" s="298"/>
      <c r="U31" s="298"/>
    </row>
    <row r="32" spans="1:21">
      <c r="A32" s="54">
        <v>28</v>
      </c>
      <c r="B32" s="47" t="s">
        <v>50</v>
      </c>
      <c r="C32" s="198">
        <v>191803</v>
      </c>
      <c r="D32" s="198">
        <v>61875</v>
      </c>
      <c r="E32" s="198">
        <v>60765</v>
      </c>
      <c r="F32" s="198">
        <v>74245</v>
      </c>
      <c r="G32" s="198">
        <v>91671</v>
      </c>
      <c r="H32" s="198">
        <v>109461</v>
      </c>
      <c r="I32" s="198">
        <v>136238</v>
      </c>
      <c r="J32" s="198">
        <v>136237</v>
      </c>
      <c r="K32" s="198">
        <v>227489</v>
      </c>
      <c r="L32" s="198">
        <v>243041</v>
      </c>
      <c r="M32" s="198">
        <v>246120</v>
      </c>
      <c r="N32" s="313">
        <v>337616.6</v>
      </c>
      <c r="O32" s="313">
        <v>651580.0504500001</v>
      </c>
      <c r="P32" s="313">
        <v>631205.19999999995</v>
      </c>
      <c r="Q32" s="313">
        <v>612021.4</v>
      </c>
      <c r="R32" s="388">
        <v>621623.6</v>
      </c>
      <c r="S32" s="388">
        <v>672338.3</v>
      </c>
      <c r="T32" s="388">
        <v>841262.25464000006</v>
      </c>
      <c r="U32" s="388">
        <v>37402.948909999999</v>
      </c>
    </row>
    <row r="33" spans="1:21">
      <c r="A33" s="53"/>
      <c r="B33" s="40"/>
      <c r="C33" s="229"/>
      <c r="D33" s="230"/>
      <c r="E33" s="229"/>
      <c r="F33" s="229"/>
      <c r="G33" s="198"/>
      <c r="H33" s="196"/>
      <c r="I33" s="196"/>
      <c r="J33" s="196"/>
      <c r="K33" s="196"/>
      <c r="L33" s="196"/>
      <c r="M33" s="196"/>
      <c r="N33" s="298"/>
      <c r="O33" s="298"/>
      <c r="P33" s="322"/>
      <c r="Q33" s="322"/>
      <c r="R33" s="389"/>
      <c r="S33" s="298"/>
      <c r="T33" s="298"/>
      <c r="U33" s="298"/>
    </row>
    <row r="34" spans="1:21">
      <c r="A34" s="11">
        <v>29</v>
      </c>
      <c r="B34" s="38" t="s">
        <v>51</v>
      </c>
      <c r="C34" s="198">
        <f t="shared" ref="C34:H34" si="16">C4-C23-C28-C30-C32</f>
        <v>136580</v>
      </c>
      <c r="D34" s="198">
        <f t="shared" si="16"/>
        <v>159066</v>
      </c>
      <c r="E34" s="198">
        <f t="shared" si="16"/>
        <v>178921</v>
      </c>
      <c r="F34" s="198">
        <f t="shared" si="16"/>
        <v>168793</v>
      </c>
      <c r="G34" s="198">
        <f t="shared" si="16"/>
        <v>1404949</v>
      </c>
      <c r="H34" s="198">
        <f t="shared" si="16"/>
        <v>1459410</v>
      </c>
      <c r="I34" s="198">
        <f>I4-I23-I28-I30-I32</f>
        <v>1482113</v>
      </c>
      <c r="J34" s="198">
        <f>J4-J23-J28-J30-J32</f>
        <v>1579529</v>
      </c>
      <c r="K34" s="198">
        <v>1580051</v>
      </c>
      <c r="L34" s="198">
        <v>1583811</v>
      </c>
      <c r="M34" s="198">
        <v>1376796</v>
      </c>
      <c r="N34" s="313">
        <v>1383723.6</v>
      </c>
      <c r="O34" s="313">
        <v>74589.08226000001</v>
      </c>
      <c r="P34" s="313">
        <v>21043.8</v>
      </c>
      <c r="Q34" s="313">
        <v>-62878.5</v>
      </c>
      <c r="R34" s="388">
        <v>33102.800000000003</v>
      </c>
      <c r="S34" s="388">
        <v>74869.100000000006</v>
      </c>
      <c r="T34" s="388">
        <v>78979.794940000007</v>
      </c>
      <c r="U34" s="388">
        <v>866445.59167999995</v>
      </c>
    </row>
    <row r="35" spans="1:21">
      <c r="A35" s="6"/>
      <c r="B35" s="90"/>
      <c r="C35" s="91"/>
      <c r="D35" s="91"/>
      <c r="E35" s="91"/>
      <c r="F35" s="5"/>
      <c r="G35" s="6"/>
      <c r="H35" s="6"/>
      <c r="I35" s="6"/>
      <c r="J35" s="6"/>
      <c r="K35" s="6"/>
      <c r="L35" s="225"/>
      <c r="M35" s="225"/>
      <c r="N35" s="225"/>
      <c r="O35" s="225"/>
      <c r="P35" s="225"/>
      <c r="Q35" s="337"/>
      <c r="R35" s="360"/>
      <c r="S35" s="360"/>
      <c r="T35" s="360"/>
      <c r="U35" s="360"/>
    </row>
    <row r="36" spans="1:21" s="93" customFormat="1">
      <c r="A36" s="181"/>
      <c r="B36" s="181"/>
      <c r="C36" s="92"/>
      <c r="D36" s="92"/>
      <c r="E36" s="92"/>
      <c r="F36" s="92"/>
      <c r="G36" s="92"/>
      <c r="H36" s="185"/>
      <c r="J36" s="94"/>
      <c r="Q36" s="338"/>
      <c r="R36" s="362"/>
      <c r="S36" s="362"/>
      <c r="T36" s="362"/>
      <c r="U36" s="362"/>
    </row>
    <row r="37" spans="1:21" s="94" customFormat="1">
      <c r="C37" s="95"/>
      <c r="D37" s="95"/>
      <c r="R37" s="78"/>
      <c r="S37" s="78"/>
      <c r="T37" s="78"/>
      <c r="U37" s="78"/>
    </row>
    <row r="38" spans="1:21" s="94" customFormat="1">
      <c r="C38" s="95"/>
      <c r="D38" s="95"/>
      <c r="R38" s="78"/>
      <c r="S38" s="78"/>
      <c r="T38" s="78"/>
      <c r="U38" s="78"/>
    </row>
    <row r="39" spans="1:21" s="94" customFormat="1">
      <c r="C39" s="95"/>
      <c r="D39" s="95"/>
      <c r="R39" s="78"/>
      <c r="S39" s="78"/>
      <c r="T39" s="78"/>
      <c r="U39" s="78"/>
    </row>
    <row r="40" spans="1:21" s="94" customFormat="1">
      <c r="C40" s="95"/>
      <c r="D40" s="95"/>
      <c r="R40" s="78"/>
      <c r="S40" s="78"/>
      <c r="T40" s="78"/>
      <c r="U40" s="78"/>
    </row>
    <row r="41" spans="1:21" s="94" customFormat="1">
      <c r="C41" s="95"/>
      <c r="D41" s="95"/>
      <c r="R41" s="78"/>
      <c r="S41" s="78"/>
      <c r="T41" s="78"/>
      <c r="U41" s="78"/>
    </row>
    <row r="42" spans="1:21" s="94" customFormat="1">
      <c r="C42" s="95"/>
      <c r="D42" s="95"/>
      <c r="R42" s="78"/>
      <c r="S42" s="78"/>
      <c r="T42" s="78"/>
      <c r="U42" s="78"/>
    </row>
    <row r="43" spans="1:21" s="94" customFormat="1">
      <c r="C43" s="95"/>
      <c r="D43" s="95"/>
      <c r="R43" s="78"/>
      <c r="S43" s="78"/>
      <c r="T43" s="78"/>
      <c r="U43" s="78"/>
    </row>
    <row r="44" spans="1:21" s="94" customFormat="1">
      <c r="C44" s="95"/>
      <c r="D44" s="95"/>
      <c r="R44" s="78"/>
      <c r="S44" s="78"/>
      <c r="T44" s="78"/>
      <c r="U44" s="78"/>
    </row>
    <row r="45" spans="1:21" s="94" customFormat="1">
      <c r="C45" s="95"/>
      <c r="D45" s="95"/>
      <c r="R45" s="78"/>
      <c r="S45" s="78"/>
      <c r="T45" s="78"/>
      <c r="U45" s="78"/>
    </row>
    <row r="46" spans="1:21" s="94" customFormat="1">
      <c r="C46" s="95"/>
      <c r="D46" s="95"/>
      <c r="R46" s="78"/>
      <c r="S46" s="78"/>
      <c r="T46" s="78"/>
      <c r="U46" s="78"/>
    </row>
    <row r="47" spans="1:21" s="94" customFormat="1">
      <c r="C47" s="95"/>
      <c r="D47" s="95"/>
      <c r="R47" s="78"/>
      <c r="S47" s="78"/>
      <c r="T47" s="78"/>
      <c r="U47" s="78"/>
    </row>
    <row r="48" spans="1:21" s="94" customFormat="1">
      <c r="C48" s="95"/>
      <c r="D48" s="95"/>
      <c r="R48" s="78"/>
      <c r="S48" s="78"/>
      <c r="T48" s="78"/>
      <c r="U48" s="78"/>
    </row>
    <row r="49" spans="3:21" s="94" customFormat="1">
      <c r="C49" s="95"/>
      <c r="D49" s="95"/>
      <c r="R49" s="78"/>
      <c r="S49" s="78"/>
      <c r="T49" s="78"/>
      <c r="U49" s="78"/>
    </row>
    <row r="50" spans="3:21" s="94" customFormat="1">
      <c r="C50" s="95"/>
      <c r="D50" s="95"/>
      <c r="R50" s="78"/>
      <c r="S50" s="78"/>
      <c r="T50" s="78"/>
      <c r="U50" s="78"/>
    </row>
    <row r="51" spans="3:21" s="94" customFormat="1">
      <c r="C51" s="95"/>
      <c r="D51" s="95"/>
      <c r="R51" s="78"/>
      <c r="S51" s="78"/>
      <c r="T51" s="78"/>
      <c r="U51" s="78"/>
    </row>
    <row r="52" spans="3:21" s="94" customFormat="1">
      <c r="C52" s="95"/>
      <c r="D52" s="95"/>
      <c r="R52" s="78"/>
      <c r="S52" s="78"/>
      <c r="T52" s="78"/>
      <c r="U52" s="78"/>
    </row>
    <row r="53" spans="3:21" s="94" customFormat="1">
      <c r="C53" s="95"/>
      <c r="D53" s="95"/>
      <c r="R53" s="78"/>
      <c r="S53" s="78"/>
      <c r="T53" s="78"/>
      <c r="U53" s="78"/>
    </row>
    <row r="54" spans="3:21" s="94" customFormat="1">
      <c r="C54" s="95"/>
      <c r="D54" s="95"/>
      <c r="R54" s="78"/>
      <c r="S54" s="78"/>
      <c r="T54" s="78"/>
      <c r="U54" s="78"/>
    </row>
    <row r="55" spans="3:21" s="94" customFormat="1">
      <c r="C55" s="95"/>
      <c r="D55" s="95"/>
      <c r="R55" s="78"/>
      <c r="S55" s="78"/>
      <c r="T55" s="78"/>
      <c r="U55" s="78"/>
    </row>
    <row r="56" spans="3:21" s="94" customFormat="1">
      <c r="C56" s="95"/>
      <c r="D56" s="95"/>
      <c r="R56" s="78"/>
      <c r="S56" s="78"/>
      <c r="T56" s="78"/>
      <c r="U56" s="78"/>
    </row>
    <row r="57" spans="3:21" s="94" customFormat="1">
      <c r="C57" s="95"/>
      <c r="D57" s="95"/>
      <c r="R57" s="78"/>
      <c r="S57" s="78"/>
      <c r="T57" s="78"/>
      <c r="U57" s="78"/>
    </row>
    <row r="58" spans="3:21" s="94" customFormat="1">
      <c r="C58" s="95"/>
      <c r="D58" s="95"/>
      <c r="R58" s="78"/>
      <c r="S58" s="78"/>
      <c r="T58" s="78"/>
      <c r="U58" s="78"/>
    </row>
    <row r="59" spans="3:21" s="94" customFormat="1">
      <c r="C59" s="95"/>
      <c r="D59" s="95"/>
      <c r="R59" s="78"/>
      <c r="S59" s="78"/>
      <c r="T59" s="78"/>
      <c r="U59" s="78"/>
    </row>
    <row r="60" spans="3:21" s="94" customFormat="1">
      <c r="C60" s="95"/>
      <c r="D60" s="95"/>
      <c r="R60" s="78"/>
      <c r="S60" s="78"/>
      <c r="T60" s="78"/>
      <c r="U60" s="78"/>
    </row>
    <row r="61" spans="3:21" s="94" customFormat="1">
      <c r="C61" s="95"/>
      <c r="D61" s="95"/>
      <c r="R61" s="78"/>
      <c r="S61" s="78"/>
      <c r="T61" s="78"/>
      <c r="U61" s="78"/>
    </row>
    <row r="62" spans="3:21" s="94" customFormat="1">
      <c r="C62" s="95"/>
      <c r="D62" s="95"/>
      <c r="R62" s="78"/>
      <c r="S62" s="78"/>
      <c r="T62" s="78"/>
      <c r="U62" s="78"/>
    </row>
    <row r="63" spans="3:21" s="94" customFormat="1">
      <c r="C63" s="95"/>
      <c r="D63" s="95"/>
      <c r="R63" s="78"/>
      <c r="S63" s="78"/>
      <c r="T63" s="78"/>
      <c r="U63" s="78"/>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7" width="11.42578125" style="2"/>
    <col min="18" max="18" width="13" style="78" customWidth="1"/>
    <col min="19"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82</v>
      </c>
      <c r="C2" s="79"/>
      <c r="D2" s="79"/>
      <c r="E2" s="79"/>
      <c r="F2" s="79"/>
      <c r="G2" s="79"/>
      <c r="H2" s="79"/>
      <c r="I2" s="79"/>
      <c r="J2" s="6"/>
      <c r="K2" s="6"/>
      <c r="L2" s="6"/>
      <c r="M2" s="6"/>
      <c r="N2" s="6"/>
      <c r="O2" s="6"/>
      <c r="P2" s="6"/>
      <c r="Q2" s="346"/>
      <c r="R2" s="350" t="s">
        <v>103</v>
      </c>
      <c r="S2" s="350" t="s">
        <v>103</v>
      </c>
      <c r="T2" s="350" t="s">
        <v>103</v>
      </c>
      <c r="U2" s="350" t="s">
        <v>103</v>
      </c>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H4" si="0">C6+C11+C16+C18</f>
        <v>96959</v>
      </c>
      <c r="D4" s="87">
        <f t="shared" si="0"/>
        <v>93690</v>
      </c>
      <c r="E4" s="87">
        <f t="shared" si="0"/>
        <v>88125</v>
      </c>
      <c r="F4" s="87">
        <f t="shared" si="0"/>
        <v>92283</v>
      </c>
      <c r="G4" s="87">
        <f t="shared" si="0"/>
        <v>90677</v>
      </c>
      <c r="H4" s="87">
        <f t="shared" si="0"/>
        <v>120404</v>
      </c>
      <c r="I4" s="13">
        <f t="shared" ref="I4:P4" si="1">I6+I11+I16+I18</f>
        <v>114717</v>
      </c>
      <c r="J4" s="198">
        <f t="shared" si="1"/>
        <v>109606</v>
      </c>
      <c r="K4" s="198">
        <f t="shared" si="1"/>
        <v>119062</v>
      </c>
      <c r="L4" s="198">
        <f t="shared" si="1"/>
        <v>127088</v>
      </c>
      <c r="M4" s="198">
        <f t="shared" si="1"/>
        <v>123749</v>
      </c>
      <c r="N4" s="198">
        <f t="shared" si="1"/>
        <v>1297416.9628900001</v>
      </c>
      <c r="O4" s="198">
        <f t="shared" si="1"/>
        <v>132500.79999999999</v>
      </c>
      <c r="P4" s="198">
        <f t="shared" si="1"/>
        <v>140382.6</v>
      </c>
      <c r="Q4" s="348">
        <f t="shared" ref="Q4:R4" si="2">Q6+Q11+Q16+Q18</f>
        <v>133788.1</v>
      </c>
      <c r="R4" s="348">
        <f t="shared" si="2"/>
        <v>186475.69999999998</v>
      </c>
      <c r="S4" s="348">
        <f t="shared" ref="S4:T4" si="3">S6+S11+S16+S18</f>
        <v>184666</v>
      </c>
      <c r="T4" s="348">
        <f t="shared" si="3"/>
        <v>192846.4</v>
      </c>
      <c r="U4" s="348">
        <f t="shared" ref="U4" si="4">U6+U11+U16+U18</f>
        <v>201250.53393000001</v>
      </c>
    </row>
    <row r="5" spans="1:21">
      <c r="A5" s="14"/>
      <c r="B5" s="15"/>
      <c r="C5" s="16"/>
      <c r="D5" s="17"/>
      <c r="E5" s="16"/>
      <c r="F5" s="16"/>
      <c r="G5" s="149"/>
      <c r="H5" s="18"/>
      <c r="I5" s="18"/>
      <c r="J5" s="196"/>
      <c r="K5" s="196"/>
      <c r="L5" s="196"/>
      <c r="M5" s="196"/>
      <c r="N5" s="196"/>
      <c r="O5" s="196"/>
      <c r="P5" s="196"/>
      <c r="Q5" s="298"/>
      <c r="R5" s="298"/>
      <c r="S5" s="298"/>
      <c r="T5" s="298"/>
      <c r="U5" s="298"/>
    </row>
    <row r="6" spans="1:21">
      <c r="A6" s="19">
        <v>10</v>
      </c>
      <c r="B6" s="12" t="s">
        <v>6</v>
      </c>
      <c r="C6" s="13">
        <f t="shared" ref="C6:H6" si="5">C7+C8+C9</f>
        <v>47935</v>
      </c>
      <c r="D6" s="13">
        <f t="shared" si="5"/>
        <v>46490</v>
      </c>
      <c r="E6" s="13">
        <f t="shared" si="5"/>
        <v>40719</v>
      </c>
      <c r="F6" s="13">
        <f t="shared" si="5"/>
        <v>40170</v>
      </c>
      <c r="G6" s="13">
        <f t="shared" si="5"/>
        <v>37245</v>
      </c>
      <c r="H6" s="13">
        <f t="shared" si="5"/>
        <v>64841</v>
      </c>
      <c r="I6" s="13">
        <f t="shared" ref="I6:P6" si="6">I7+I8+I9</f>
        <v>58325</v>
      </c>
      <c r="J6" s="198">
        <f t="shared" si="6"/>
        <v>55232</v>
      </c>
      <c r="K6" s="198">
        <f t="shared" si="6"/>
        <v>65278</v>
      </c>
      <c r="L6" s="198">
        <f t="shared" si="6"/>
        <v>72138</v>
      </c>
      <c r="M6" s="198">
        <f t="shared" si="6"/>
        <v>81578</v>
      </c>
      <c r="N6" s="198">
        <f t="shared" si="6"/>
        <v>1255315.9628900001</v>
      </c>
      <c r="O6" s="198">
        <f t="shared" si="6"/>
        <v>85273.4</v>
      </c>
      <c r="P6" s="198">
        <f t="shared" si="6"/>
        <v>90659.3</v>
      </c>
      <c r="Q6" s="348">
        <f t="shared" ref="Q6:R6" si="7">Q7+Q8+Q9</f>
        <v>93311.6</v>
      </c>
      <c r="R6" s="348">
        <f t="shared" si="7"/>
        <v>137882.29999999999</v>
      </c>
      <c r="S6" s="348">
        <f t="shared" ref="S6:T6" si="8">S7+S8+S9</f>
        <v>124756.19999999998</v>
      </c>
      <c r="T6" s="348">
        <f t="shared" si="8"/>
        <v>130039.4</v>
      </c>
      <c r="U6" s="348">
        <f t="shared" ref="U6" si="9">U7+U8+U9</f>
        <v>135818.57222999999</v>
      </c>
    </row>
    <row r="7" spans="1:21">
      <c r="A7" s="20" t="s">
        <v>7</v>
      </c>
      <c r="B7" s="21" t="s">
        <v>8</v>
      </c>
      <c r="C7" s="164">
        <v>34257</v>
      </c>
      <c r="D7" s="164">
        <v>33007</v>
      </c>
      <c r="E7" s="164">
        <v>27616</v>
      </c>
      <c r="F7" s="164">
        <v>25250</v>
      </c>
      <c r="G7" s="164">
        <v>25179</v>
      </c>
      <c r="H7" s="164">
        <f>37301+13876</f>
        <v>51177</v>
      </c>
      <c r="I7" s="164">
        <v>53722</v>
      </c>
      <c r="J7" s="196">
        <f>6350+44870</f>
        <v>51220</v>
      </c>
      <c r="K7" s="196">
        <v>60098</v>
      </c>
      <c r="L7" s="196">
        <v>66116</v>
      </c>
      <c r="M7" s="196">
        <v>77961</v>
      </c>
      <c r="N7" s="298">
        <v>1252114.66289</v>
      </c>
      <c r="O7" s="298">
        <v>81715.600000000006</v>
      </c>
      <c r="P7" s="322">
        <v>87517.7</v>
      </c>
      <c r="Q7" s="322">
        <v>87978.1</v>
      </c>
      <c r="R7" s="302">
        <v>61363.8</v>
      </c>
      <c r="S7" s="302">
        <v>71251.5</v>
      </c>
      <c r="T7" s="302">
        <v>59602.8</v>
      </c>
      <c r="U7" s="302">
        <v>80585.998449999999</v>
      </c>
    </row>
    <row r="8" spans="1:21">
      <c r="A8" s="25">
        <v>102</v>
      </c>
      <c r="B8" s="26" t="s">
        <v>9</v>
      </c>
      <c r="C8" s="164">
        <v>13390</v>
      </c>
      <c r="D8" s="164">
        <v>13195</v>
      </c>
      <c r="E8" s="164">
        <v>12871</v>
      </c>
      <c r="F8" s="164">
        <v>8768</v>
      </c>
      <c r="G8" s="164">
        <v>3785</v>
      </c>
      <c r="H8" s="164">
        <v>5648</v>
      </c>
      <c r="I8" s="164">
        <v>4584</v>
      </c>
      <c r="J8" s="199">
        <v>3763</v>
      </c>
      <c r="K8" s="199">
        <v>4260</v>
      </c>
      <c r="L8" s="199">
        <v>3327</v>
      </c>
      <c r="M8" s="199">
        <v>3053</v>
      </c>
      <c r="N8" s="300">
        <v>2887.7</v>
      </c>
      <c r="O8" s="300">
        <v>3335.4</v>
      </c>
      <c r="P8" s="323">
        <v>2892.1</v>
      </c>
      <c r="Q8" s="323">
        <v>2409.6999999999998</v>
      </c>
      <c r="R8" s="302">
        <v>73051.099999999991</v>
      </c>
      <c r="S8" s="302">
        <v>46500.299999999988</v>
      </c>
      <c r="T8" s="302">
        <v>58844.299999999988</v>
      </c>
      <c r="U8" s="302">
        <v>52240.047330000001</v>
      </c>
    </row>
    <row r="9" spans="1:21">
      <c r="A9" s="25">
        <v>103</v>
      </c>
      <c r="B9" s="26" t="s">
        <v>10</v>
      </c>
      <c r="C9" s="164">
        <v>288</v>
      </c>
      <c r="D9" s="164">
        <v>288</v>
      </c>
      <c r="E9" s="164">
        <v>232</v>
      </c>
      <c r="F9" s="164">
        <v>6152</v>
      </c>
      <c r="G9" s="164">
        <v>8281</v>
      </c>
      <c r="H9" s="164">
        <v>8016</v>
      </c>
      <c r="I9" s="164">
        <v>19</v>
      </c>
      <c r="J9" s="196">
        <v>249</v>
      </c>
      <c r="K9" s="196">
        <v>920</v>
      </c>
      <c r="L9" s="196">
        <v>2695</v>
      </c>
      <c r="M9" s="196">
        <v>564</v>
      </c>
      <c r="N9" s="298">
        <v>313.60000000000002</v>
      </c>
      <c r="O9" s="298">
        <v>222.4</v>
      </c>
      <c r="P9" s="322">
        <v>249.5</v>
      </c>
      <c r="Q9" s="322">
        <v>2923.8</v>
      </c>
      <c r="R9" s="302">
        <v>3467.4</v>
      </c>
      <c r="S9" s="302">
        <v>7004.4</v>
      </c>
      <c r="T9" s="302">
        <v>11592.3</v>
      </c>
      <c r="U9" s="302">
        <v>2992.5264500000012</v>
      </c>
    </row>
    <row r="10" spans="1:21">
      <c r="A10" s="28"/>
      <c r="B10" s="29"/>
      <c r="C10" s="30"/>
      <c r="D10" s="31"/>
      <c r="E10" s="30"/>
      <c r="F10" s="30"/>
      <c r="G10" s="149"/>
      <c r="H10" s="18"/>
      <c r="I10" s="18"/>
      <c r="J10" s="196"/>
      <c r="K10" s="196"/>
      <c r="L10" s="196"/>
      <c r="M10" s="196"/>
      <c r="N10" s="196"/>
      <c r="O10" s="196"/>
      <c r="P10" s="324"/>
      <c r="Q10" s="363"/>
      <c r="R10" s="298"/>
      <c r="S10" s="298"/>
      <c r="T10" s="298"/>
      <c r="U10" s="298"/>
    </row>
    <row r="11" spans="1:21">
      <c r="A11" s="19">
        <v>11</v>
      </c>
      <c r="B11" s="12" t="s">
        <v>11</v>
      </c>
      <c r="C11" s="13">
        <f t="shared" ref="C11:H11" si="10">C12+C13+C14</f>
        <v>48999</v>
      </c>
      <c r="D11" s="13">
        <f t="shared" si="10"/>
        <v>47119</v>
      </c>
      <c r="E11" s="13">
        <f t="shared" si="10"/>
        <v>46017</v>
      </c>
      <c r="F11" s="13">
        <f t="shared" si="10"/>
        <v>45315</v>
      </c>
      <c r="G11" s="13">
        <f t="shared" si="10"/>
        <v>45128</v>
      </c>
      <c r="H11" s="13">
        <f t="shared" si="10"/>
        <v>44961</v>
      </c>
      <c r="I11" s="13">
        <f t="shared" ref="I11:P11" si="11">I12+I13+I14</f>
        <v>44754</v>
      </c>
      <c r="J11" s="198">
        <f t="shared" si="11"/>
        <v>38974</v>
      </c>
      <c r="K11" s="198">
        <f t="shared" si="11"/>
        <v>39304</v>
      </c>
      <c r="L11" s="198">
        <f t="shared" si="11"/>
        <v>39784</v>
      </c>
      <c r="M11" s="198">
        <f t="shared" si="11"/>
        <v>30134</v>
      </c>
      <c r="N11" s="198">
        <f t="shared" si="11"/>
        <v>32000</v>
      </c>
      <c r="O11" s="198">
        <f t="shared" si="11"/>
        <v>36000</v>
      </c>
      <c r="P11" s="198">
        <f t="shared" si="11"/>
        <v>39000</v>
      </c>
      <c r="Q11" s="348">
        <f t="shared" ref="Q11:R11" si="12">Q12+Q13+Q14</f>
        <v>30000</v>
      </c>
      <c r="R11" s="348">
        <f t="shared" si="12"/>
        <v>48593.4</v>
      </c>
      <c r="S11" s="348">
        <f t="shared" ref="S11:T11" si="13">S12+S13+S14</f>
        <v>59909.8</v>
      </c>
      <c r="T11" s="348">
        <f t="shared" si="13"/>
        <v>62807</v>
      </c>
      <c r="U11" s="348">
        <f t="shared" ref="U11" si="14">U12+U13+U14</f>
        <v>65431.961700000014</v>
      </c>
    </row>
    <row r="12" spans="1:21">
      <c r="A12" s="32">
        <v>114</v>
      </c>
      <c r="B12" s="21" t="s">
        <v>12</v>
      </c>
      <c r="C12" s="164">
        <v>10094</v>
      </c>
      <c r="D12" s="164">
        <v>8692</v>
      </c>
      <c r="E12" s="164">
        <v>11183</v>
      </c>
      <c r="F12" s="164">
        <v>11994</v>
      </c>
      <c r="G12" s="164">
        <v>13684</v>
      </c>
      <c r="H12" s="164">
        <v>13344</v>
      </c>
      <c r="I12" s="164">
        <v>12604</v>
      </c>
      <c r="J12" s="196">
        <v>7374</v>
      </c>
      <c r="K12" s="196">
        <v>8254</v>
      </c>
      <c r="L12" s="196">
        <v>8854</v>
      </c>
      <c r="M12" s="196">
        <v>134</v>
      </c>
      <c r="N12" s="298">
        <v>2000</v>
      </c>
      <c r="O12" s="298">
        <v>6000</v>
      </c>
      <c r="P12" s="322">
        <v>9000</v>
      </c>
      <c r="Q12" s="322">
        <v>0</v>
      </c>
      <c r="R12" s="302">
        <v>14655.5</v>
      </c>
      <c r="S12" s="302">
        <v>23131.9</v>
      </c>
      <c r="T12" s="302">
        <v>25636.6</v>
      </c>
      <c r="U12" s="302">
        <v>28515.285790000005</v>
      </c>
    </row>
    <row r="13" spans="1:21">
      <c r="A13" s="25">
        <v>115</v>
      </c>
      <c r="B13" s="26" t="s">
        <v>13</v>
      </c>
      <c r="C13" s="164">
        <v>34357</v>
      </c>
      <c r="D13" s="164">
        <v>34007</v>
      </c>
      <c r="E13" s="164">
        <v>32436</v>
      </c>
      <c r="F13" s="164">
        <v>31721</v>
      </c>
      <c r="G13" s="164">
        <v>30014</v>
      </c>
      <c r="H13" s="164">
        <v>30007</v>
      </c>
      <c r="I13" s="164">
        <v>30000</v>
      </c>
      <c r="J13" s="199">
        <v>30000</v>
      </c>
      <c r="K13" s="199">
        <v>30000</v>
      </c>
      <c r="L13" s="199">
        <v>30000</v>
      </c>
      <c r="M13" s="199">
        <v>30000</v>
      </c>
      <c r="N13" s="300">
        <v>30000</v>
      </c>
      <c r="O13" s="300">
        <v>30000</v>
      </c>
      <c r="P13" s="323">
        <v>30000</v>
      </c>
      <c r="Q13" s="323">
        <v>30000</v>
      </c>
      <c r="R13" s="302">
        <v>32144.400000000001</v>
      </c>
      <c r="S13" s="302">
        <v>32130.5</v>
      </c>
      <c r="T13" s="302">
        <v>32138.400000000001</v>
      </c>
      <c r="U13" s="302">
        <v>32251.853000000003</v>
      </c>
    </row>
    <row r="14" spans="1:21">
      <c r="A14" s="33" t="s">
        <v>14</v>
      </c>
      <c r="B14" s="34" t="s">
        <v>15</v>
      </c>
      <c r="C14" s="164">
        <v>4548</v>
      </c>
      <c r="D14" s="164">
        <v>4420</v>
      </c>
      <c r="E14" s="164">
        <v>2398</v>
      </c>
      <c r="F14" s="164">
        <v>1600</v>
      </c>
      <c r="G14" s="164">
        <v>1430</v>
      </c>
      <c r="H14" s="164">
        <v>1610</v>
      </c>
      <c r="I14" s="164">
        <v>2150</v>
      </c>
      <c r="J14" s="196">
        <v>1600</v>
      </c>
      <c r="K14" s="196">
        <v>1050</v>
      </c>
      <c r="L14" s="196">
        <v>930</v>
      </c>
      <c r="M14" s="196">
        <v>0</v>
      </c>
      <c r="N14" s="298"/>
      <c r="O14" s="298"/>
      <c r="P14" s="322"/>
      <c r="Q14" s="363"/>
      <c r="R14" s="302">
        <v>1793.5</v>
      </c>
      <c r="S14" s="302">
        <v>4647.3999999999996</v>
      </c>
      <c r="T14" s="302">
        <v>5032</v>
      </c>
      <c r="U14" s="302">
        <v>4664.822909999999</v>
      </c>
    </row>
    <row r="15" spans="1:21">
      <c r="A15" s="35"/>
      <c r="B15" s="36"/>
      <c r="C15" s="30"/>
      <c r="D15" s="31"/>
      <c r="E15" s="30"/>
      <c r="F15" s="30"/>
      <c r="G15" s="149"/>
      <c r="H15" s="37"/>
      <c r="I15" s="156"/>
      <c r="J15" s="200"/>
      <c r="K15" s="200"/>
      <c r="L15" s="200"/>
      <c r="M15" s="200"/>
      <c r="N15" s="305"/>
      <c r="O15" s="305"/>
      <c r="P15" s="325"/>
      <c r="Q15" s="364"/>
      <c r="R15" s="305"/>
      <c r="S15" s="305"/>
      <c r="T15" s="305"/>
      <c r="U15" s="305"/>
    </row>
    <row r="16" spans="1:21">
      <c r="A16" s="11">
        <v>12</v>
      </c>
      <c r="B16" s="38" t="s">
        <v>16</v>
      </c>
      <c r="C16" s="13">
        <v>25</v>
      </c>
      <c r="D16" s="13">
        <v>81</v>
      </c>
      <c r="E16" s="13">
        <v>1389</v>
      </c>
      <c r="F16" s="13">
        <v>6798</v>
      </c>
      <c r="G16" s="13">
        <v>8304</v>
      </c>
      <c r="H16" s="13">
        <v>10602</v>
      </c>
      <c r="I16" s="13">
        <v>11638</v>
      </c>
      <c r="J16" s="198">
        <v>15400</v>
      </c>
      <c r="K16" s="198">
        <v>14480</v>
      </c>
      <c r="L16" s="198">
        <v>15166</v>
      </c>
      <c r="M16" s="198">
        <v>12037</v>
      </c>
      <c r="N16" s="313">
        <v>10101</v>
      </c>
      <c r="O16" s="313">
        <v>11227.4</v>
      </c>
      <c r="P16" s="313">
        <v>10723.3</v>
      </c>
      <c r="Q16" s="313">
        <v>10476.5</v>
      </c>
      <c r="R16" s="313">
        <v>0</v>
      </c>
      <c r="S16" s="388">
        <v>0</v>
      </c>
      <c r="T16" s="388">
        <v>0</v>
      </c>
      <c r="U16" s="388">
        <v>0</v>
      </c>
    </row>
    <row r="17" spans="1:21">
      <c r="A17" s="39"/>
      <c r="B17" s="40"/>
      <c r="C17" s="16"/>
      <c r="D17" s="17"/>
      <c r="E17" s="16"/>
      <c r="F17" s="16"/>
      <c r="G17" s="91"/>
      <c r="H17" s="18"/>
      <c r="I17" s="18"/>
      <c r="J17" s="196"/>
      <c r="K17" s="196"/>
      <c r="L17" s="196"/>
      <c r="M17" s="196"/>
      <c r="N17" s="298"/>
      <c r="O17" s="298"/>
      <c r="P17" s="322"/>
      <c r="Q17" s="322"/>
      <c r="R17" s="298"/>
      <c r="S17" s="298"/>
      <c r="T17" s="298"/>
      <c r="U17" s="298"/>
    </row>
    <row r="18" spans="1:21">
      <c r="A18" s="11">
        <v>13</v>
      </c>
      <c r="B18" s="38" t="s">
        <v>17</v>
      </c>
      <c r="C18" s="13">
        <v>0</v>
      </c>
      <c r="D18" s="13">
        <v>0</v>
      </c>
      <c r="E18" s="13">
        <v>0</v>
      </c>
      <c r="F18" s="13">
        <v>0</v>
      </c>
      <c r="G18" s="13">
        <v>0</v>
      </c>
      <c r="H18" s="13">
        <v>0</v>
      </c>
      <c r="I18" s="13">
        <v>0</v>
      </c>
      <c r="J18" s="198"/>
      <c r="K18" s="198">
        <v>0</v>
      </c>
      <c r="L18" s="198">
        <v>0</v>
      </c>
      <c r="M18" s="198">
        <v>0</v>
      </c>
      <c r="N18" s="313"/>
      <c r="O18" s="313">
        <v>0</v>
      </c>
      <c r="P18" s="313">
        <v>0</v>
      </c>
      <c r="Q18" s="313">
        <v>0</v>
      </c>
      <c r="R18" s="313">
        <v>0</v>
      </c>
      <c r="S18" s="388">
        <v>0</v>
      </c>
      <c r="T18" s="388">
        <v>0</v>
      </c>
      <c r="U18" s="388">
        <v>0</v>
      </c>
    </row>
    <row r="19" spans="1:21">
      <c r="A19" s="41"/>
      <c r="B19" s="42"/>
      <c r="C19" s="22"/>
      <c r="D19" s="23"/>
      <c r="E19" s="22"/>
      <c r="F19" s="22"/>
      <c r="G19" s="56"/>
      <c r="H19" s="18"/>
      <c r="I19" s="18"/>
      <c r="J19" s="196"/>
      <c r="K19" s="196"/>
      <c r="L19" s="196"/>
      <c r="M19" s="196"/>
      <c r="N19" s="298"/>
      <c r="O19" s="298"/>
      <c r="P19" s="322"/>
      <c r="Q19" s="322"/>
      <c r="R19" s="298"/>
      <c r="S19" s="298"/>
      <c r="T19" s="298"/>
      <c r="U19" s="298"/>
    </row>
    <row r="20" spans="1:21">
      <c r="A20" s="43"/>
      <c r="B20" s="36"/>
      <c r="C20" s="30"/>
      <c r="D20" s="31"/>
      <c r="E20" s="30"/>
      <c r="F20" s="30"/>
      <c r="G20" s="150"/>
      <c r="H20" s="37"/>
      <c r="I20" s="156"/>
      <c r="J20" s="200"/>
      <c r="K20" s="200"/>
      <c r="L20" s="200"/>
      <c r="M20" s="200"/>
      <c r="N20" s="305"/>
      <c r="O20" s="305"/>
      <c r="P20" s="325"/>
      <c r="Q20" s="325"/>
      <c r="R20" s="305"/>
      <c r="S20" s="305"/>
      <c r="T20" s="305"/>
      <c r="U20" s="305"/>
    </row>
    <row r="21" spans="1:21">
      <c r="A21" s="11">
        <v>2</v>
      </c>
      <c r="B21" s="38" t="s">
        <v>18</v>
      </c>
      <c r="C21" s="13">
        <f t="shared" ref="C21:H21" si="15">C23+C28+C30+C32+C34</f>
        <v>96959</v>
      </c>
      <c r="D21" s="13">
        <f t="shared" si="15"/>
        <v>93690</v>
      </c>
      <c r="E21" s="13">
        <f t="shared" si="15"/>
        <v>88125</v>
      </c>
      <c r="F21" s="13">
        <f t="shared" si="15"/>
        <v>92283</v>
      </c>
      <c r="G21" s="13">
        <f t="shared" si="15"/>
        <v>90677</v>
      </c>
      <c r="H21" s="13">
        <f t="shared" si="15"/>
        <v>120404</v>
      </c>
      <c r="I21" s="13">
        <f t="shared" ref="I21:P21" si="16">I23+I28+I30+I32+I34</f>
        <v>114717</v>
      </c>
      <c r="J21" s="198">
        <f t="shared" si="16"/>
        <v>109606</v>
      </c>
      <c r="K21" s="198">
        <f t="shared" si="16"/>
        <v>119062</v>
      </c>
      <c r="L21" s="198">
        <f t="shared" si="16"/>
        <v>127088</v>
      </c>
      <c r="M21" s="198">
        <f t="shared" si="16"/>
        <v>123749</v>
      </c>
      <c r="N21" s="198">
        <f t="shared" si="16"/>
        <v>122629</v>
      </c>
      <c r="O21" s="198">
        <f t="shared" si="16"/>
        <v>132500.70000000001</v>
      </c>
      <c r="P21" s="198">
        <f t="shared" si="16"/>
        <v>140382.5</v>
      </c>
      <c r="Q21" s="348">
        <f t="shared" ref="Q21" si="17">Q23+Q28+Q30+Q32+Q34</f>
        <v>133788.09999999998</v>
      </c>
      <c r="R21" s="348">
        <f>R23+R28+R30+R32+R34</f>
        <v>186475.59999999998</v>
      </c>
      <c r="S21" s="348">
        <f>S23+S28+S30+S32+S34</f>
        <v>184666</v>
      </c>
      <c r="T21" s="348">
        <f>T23+T28+T30+T32+T34</f>
        <v>192846.5</v>
      </c>
      <c r="U21" s="348">
        <f>U23+U28+U30+U32+U34</f>
        <v>201250.53393000003</v>
      </c>
    </row>
    <row r="22" spans="1:21">
      <c r="A22" s="44"/>
      <c r="B22" s="45"/>
      <c r="C22" s="16"/>
      <c r="D22" s="17"/>
      <c r="E22" s="16"/>
      <c r="F22" s="16"/>
      <c r="G22" s="56"/>
      <c r="H22" s="18"/>
      <c r="I22" s="18"/>
      <c r="J22" s="196"/>
      <c r="K22" s="196"/>
      <c r="L22" s="196"/>
      <c r="M22" s="196"/>
      <c r="N22" s="196"/>
      <c r="O22" s="196"/>
      <c r="P22" s="324"/>
      <c r="Q22" s="322"/>
      <c r="R22" s="298"/>
      <c r="S22" s="298"/>
      <c r="T22" s="298"/>
      <c r="U22" s="298"/>
    </row>
    <row r="23" spans="1:21">
      <c r="A23" s="46">
        <v>20</v>
      </c>
      <c r="B23" s="47" t="s">
        <v>19</v>
      </c>
      <c r="C23" s="13">
        <f t="shared" ref="C23:H23" si="18">C24+C25+C26</f>
        <v>35603</v>
      </c>
      <c r="D23" s="13">
        <f t="shared" si="18"/>
        <v>37445</v>
      </c>
      <c r="E23" s="13">
        <f t="shared" si="18"/>
        <v>37101</v>
      </c>
      <c r="F23" s="13">
        <f t="shared" si="18"/>
        <v>40263</v>
      </c>
      <c r="G23" s="13">
        <f t="shared" si="18"/>
        <v>40001</v>
      </c>
      <c r="H23" s="13">
        <f t="shared" si="18"/>
        <v>40632</v>
      </c>
      <c r="I23" s="13">
        <f t="shared" ref="I23:P23" si="19">I24+I25+I26</f>
        <v>36419</v>
      </c>
      <c r="J23" s="198">
        <f t="shared" si="19"/>
        <v>31641</v>
      </c>
      <c r="K23" s="198">
        <f t="shared" si="19"/>
        <v>28848</v>
      </c>
      <c r="L23" s="198">
        <f t="shared" si="19"/>
        <v>28963</v>
      </c>
      <c r="M23" s="198">
        <f t="shared" si="19"/>
        <v>22191</v>
      </c>
      <c r="N23" s="198">
        <f t="shared" si="19"/>
        <v>17834.099999999999</v>
      </c>
      <c r="O23" s="198">
        <f t="shared" si="19"/>
        <v>17292.8</v>
      </c>
      <c r="P23" s="198">
        <f t="shared" si="19"/>
        <v>19103.5</v>
      </c>
      <c r="Q23" s="348">
        <f t="shared" ref="Q23" si="20">Q24+Q25+Q26</f>
        <v>33296.6</v>
      </c>
      <c r="R23" s="348">
        <f>R24+R25+R26</f>
        <v>61820.1</v>
      </c>
      <c r="S23" s="348">
        <f>S24+S25+S26</f>
        <v>56405.5</v>
      </c>
      <c r="T23" s="348">
        <f>T24+T25+T26</f>
        <v>55869.1</v>
      </c>
      <c r="U23" s="348">
        <f>U24+U25+U26</f>
        <v>60941.312030000045</v>
      </c>
    </row>
    <row r="24" spans="1:21">
      <c r="A24" s="48" t="s">
        <v>20</v>
      </c>
      <c r="B24" s="49" t="s">
        <v>21</v>
      </c>
      <c r="C24" s="164">
        <v>8727</v>
      </c>
      <c r="D24" s="164">
        <v>9985</v>
      </c>
      <c r="E24" s="164">
        <v>8500</v>
      </c>
      <c r="F24" s="164">
        <v>6426</v>
      </c>
      <c r="G24" s="164">
        <v>8901</v>
      </c>
      <c r="H24" s="164">
        <v>9095</v>
      </c>
      <c r="I24" s="164">
        <v>15496</v>
      </c>
      <c r="J24" s="196">
        <v>15717</v>
      </c>
      <c r="K24" s="196">
        <v>15375</v>
      </c>
      <c r="L24" s="196">
        <v>19933</v>
      </c>
      <c r="M24" s="196">
        <v>16054</v>
      </c>
      <c r="N24" s="298">
        <v>16989.400000000001</v>
      </c>
      <c r="O24" s="298">
        <v>15100.6</v>
      </c>
      <c r="P24" s="322">
        <v>16570.3</v>
      </c>
      <c r="Q24" s="322">
        <v>24987.3</v>
      </c>
      <c r="R24" s="302">
        <v>28794.5</v>
      </c>
      <c r="S24" s="302">
        <v>24665</v>
      </c>
      <c r="T24" s="302">
        <v>19885.599999999999</v>
      </c>
      <c r="U24" s="302">
        <v>25068.286270000041</v>
      </c>
    </row>
    <row r="25" spans="1:21">
      <c r="A25" s="50">
        <v>202</v>
      </c>
      <c r="B25" s="51" t="s">
        <v>22</v>
      </c>
      <c r="C25" s="164">
        <v>26438</v>
      </c>
      <c r="D25" s="164">
        <v>26402</v>
      </c>
      <c r="E25" s="164">
        <v>26366</v>
      </c>
      <c r="F25" s="164">
        <v>26331</v>
      </c>
      <c r="G25" s="164">
        <v>23296</v>
      </c>
      <c r="H25" s="164">
        <v>23260</v>
      </c>
      <c r="I25" s="164">
        <v>20225</v>
      </c>
      <c r="J25" s="199">
        <v>15189</v>
      </c>
      <c r="K25" s="199">
        <v>12154</v>
      </c>
      <c r="L25" s="199">
        <v>7119</v>
      </c>
      <c r="M25" s="199">
        <v>83</v>
      </c>
      <c r="N25" s="300">
        <v>70.599999999999994</v>
      </c>
      <c r="O25" s="300">
        <v>12.4</v>
      </c>
      <c r="P25" s="323">
        <v>0</v>
      </c>
      <c r="Q25" s="323">
        <v>625</v>
      </c>
      <c r="R25" s="302">
        <v>27747.9</v>
      </c>
      <c r="S25" s="302">
        <v>27748.400000000001</v>
      </c>
      <c r="T25" s="302">
        <v>27748.6</v>
      </c>
      <c r="U25" s="302">
        <v>27748.590700000001</v>
      </c>
    </row>
    <row r="26" spans="1:21">
      <c r="A26" s="50">
        <v>205</v>
      </c>
      <c r="B26" s="52" t="s">
        <v>23</v>
      </c>
      <c r="C26" s="164">
        <v>438</v>
      </c>
      <c r="D26" s="164">
        <v>1058</v>
      </c>
      <c r="E26" s="164">
        <v>2235</v>
      </c>
      <c r="F26" s="164">
        <v>7506</v>
      </c>
      <c r="G26" s="164">
        <v>7804</v>
      </c>
      <c r="H26" s="164">
        <v>8277</v>
      </c>
      <c r="I26" s="164">
        <v>698</v>
      </c>
      <c r="J26" s="196">
        <v>735</v>
      </c>
      <c r="K26" s="196">
        <v>1319</v>
      </c>
      <c r="L26" s="196">
        <v>1911</v>
      </c>
      <c r="M26" s="196">
        <v>6054</v>
      </c>
      <c r="N26" s="298">
        <v>774.1</v>
      </c>
      <c r="O26" s="298">
        <v>2179.8000000000002</v>
      </c>
      <c r="P26" s="322">
        <v>2533.1999999999998</v>
      </c>
      <c r="Q26" s="322">
        <v>7684.3</v>
      </c>
      <c r="R26" s="302">
        <v>5277.7</v>
      </c>
      <c r="S26" s="302">
        <v>3992.1</v>
      </c>
      <c r="T26" s="302">
        <v>8234.9</v>
      </c>
      <c r="U26" s="302">
        <v>8124.4350599999998</v>
      </c>
    </row>
    <row r="27" spans="1:21">
      <c r="A27" s="35"/>
      <c r="B27" s="36"/>
      <c r="C27" s="30"/>
      <c r="D27" s="31"/>
      <c r="E27" s="30"/>
      <c r="F27" s="30"/>
      <c r="G27" s="150"/>
      <c r="H27" s="37"/>
      <c r="I27" s="156"/>
      <c r="J27" s="200"/>
      <c r="K27" s="200"/>
      <c r="L27" s="200"/>
      <c r="M27" s="200"/>
      <c r="N27" s="305"/>
      <c r="O27" s="305"/>
      <c r="P27" s="325"/>
      <c r="Q27" s="364"/>
      <c r="R27" s="305"/>
      <c r="S27" s="305"/>
      <c r="T27" s="305"/>
      <c r="U27" s="305"/>
    </row>
    <row r="28" spans="1:21">
      <c r="A28" s="11">
        <v>23</v>
      </c>
      <c r="B28" s="38" t="s">
        <v>24</v>
      </c>
      <c r="C28" s="13">
        <v>5625</v>
      </c>
      <c r="D28" s="13">
        <v>5587</v>
      </c>
      <c r="E28" s="13">
        <v>5636</v>
      </c>
      <c r="F28" s="13">
        <v>5247</v>
      </c>
      <c r="G28" s="13">
        <v>5186</v>
      </c>
      <c r="H28" s="13">
        <v>5236</v>
      </c>
      <c r="I28" s="13">
        <v>5183</v>
      </c>
      <c r="J28" s="198">
        <v>5255</v>
      </c>
      <c r="K28" s="198">
        <v>5292</v>
      </c>
      <c r="L28" s="198">
        <v>5396</v>
      </c>
      <c r="M28" s="198">
        <v>7269</v>
      </c>
      <c r="N28" s="313">
        <v>6703.4</v>
      </c>
      <c r="O28" s="313">
        <v>7464.9</v>
      </c>
      <c r="P28" s="313">
        <v>7501</v>
      </c>
      <c r="Q28" s="313">
        <v>7254.5</v>
      </c>
      <c r="R28" s="313">
        <v>0</v>
      </c>
      <c r="S28" s="388">
        <v>0</v>
      </c>
      <c r="T28" s="388">
        <v>0</v>
      </c>
      <c r="U28" s="388">
        <v>0</v>
      </c>
    </row>
    <row r="29" spans="1:21">
      <c r="A29" s="53"/>
      <c r="B29" s="40"/>
      <c r="C29" s="16"/>
      <c r="D29" s="17"/>
      <c r="E29" s="16"/>
      <c r="F29" s="16"/>
      <c r="G29" s="148"/>
      <c r="H29" s="18"/>
      <c r="I29" s="18"/>
      <c r="J29" s="196"/>
      <c r="K29" s="196"/>
      <c r="L29" s="196"/>
      <c r="M29" s="196"/>
      <c r="N29" s="298"/>
      <c r="O29" s="298"/>
      <c r="P29" s="322"/>
      <c r="Q29" s="363"/>
      <c r="R29" s="298"/>
      <c r="S29" s="298"/>
      <c r="T29" s="298"/>
      <c r="U29" s="298"/>
    </row>
    <row r="30" spans="1:21">
      <c r="A30" s="11">
        <v>24</v>
      </c>
      <c r="B30" s="38" t="s">
        <v>25</v>
      </c>
      <c r="C30" s="13">
        <v>18199</v>
      </c>
      <c r="D30" s="13">
        <v>14836</v>
      </c>
      <c r="E30" s="13">
        <v>11263</v>
      </c>
      <c r="F30" s="13">
        <v>12085</v>
      </c>
      <c r="G30" s="13">
        <v>10821</v>
      </c>
      <c r="H30" s="13">
        <v>7671</v>
      </c>
      <c r="I30" s="13">
        <v>6742</v>
      </c>
      <c r="J30" s="198">
        <v>8133</v>
      </c>
      <c r="K30" s="198">
        <v>20173</v>
      </c>
      <c r="L30" s="198">
        <v>28675</v>
      </c>
      <c r="M30" s="198">
        <v>29758</v>
      </c>
      <c r="N30" s="313">
        <v>32787.300000000003</v>
      </c>
      <c r="O30" s="313">
        <v>38823.800000000003</v>
      </c>
      <c r="P30" s="313">
        <v>42052.7</v>
      </c>
      <c r="Q30" s="313">
        <v>16562.8</v>
      </c>
      <c r="R30" s="309">
        <v>320</v>
      </c>
      <c r="S30" s="309">
        <v>320</v>
      </c>
      <c r="T30" s="309">
        <v>320</v>
      </c>
      <c r="U30" s="309">
        <v>320</v>
      </c>
    </row>
    <row r="31" spans="1:21">
      <c r="A31" s="44"/>
      <c r="B31" s="45"/>
      <c r="C31" s="164"/>
      <c r="D31" s="17"/>
      <c r="E31" s="16"/>
      <c r="F31" s="16"/>
      <c r="G31" s="13"/>
      <c r="H31" s="18"/>
      <c r="I31" s="18"/>
      <c r="J31" s="196"/>
      <c r="K31" s="196"/>
      <c r="L31" s="196"/>
      <c r="M31" s="196"/>
      <c r="N31" s="298"/>
      <c r="O31" s="298"/>
      <c r="P31" s="322"/>
      <c r="Q31" s="363"/>
      <c r="R31" s="298"/>
      <c r="S31" s="298"/>
      <c r="T31" s="298"/>
      <c r="U31" s="298"/>
    </row>
    <row r="32" spans="1:21">
      <c r="A32" s="54">
        <v>28</v>
      </c>
      <c r="B32" s="47" t="s">
        <v>26</v>
      </c>
      <c r="C32" s="13">
        <v>16443</v>
      </c>
      <c r="D32" s="13">
        <v>14515</v>
      </c>
      <c r="E32" s="13">
        <v>12792</v>
      </c>
      <c r="F32" s="13">
        <v>13204</v>
      </c>
      <c r="G32" s="13">
        <v>13020</v>
      </c>
      <c r="H32" s="13">
        <v>13043</v>
      </c>
      <c r="I32" s="13">
        <v>22478</v>
      </c>
      <c r="J32" s="198">
        <f>25885-J28</f>
        <v>20630</v>
      </c>
      <c r="K32" s="198">
        <v>17798</v>
      </c>
      <c r="L32" s="198">
        <v>14372</v>
      </c>
      <c r="M32" s="198">
        <v>13953</v>
      </c>
      <c r="N32" s="313">
        <v>14284</v>
      </c>
      <c r="O32" s="313">
        <v>17604</v>
      </c>
      <c r="P32" s="313">
        <v>19960.7</v>
      </c>
      <c r="Q32" s="313">
        <v>24212.2</v>
      </c>
      <c r="R32" s="309">
        <v>1958.1</v>
      </c>
      <c r="S32" s="309">
        <v>2114.6999999999998</v>
      </c>
      <c r="T32" s="309">
        <v>2223.4</v>
      </c>
      <c r="U32" s="309">
        <v>2394.8245499999998</v>
      </c>
    </row>
    <row r="33" spans="1:21">
      <c r="A33" s="53"/>
      <c r="B33" s="40"/>
      <c r="C33" s="16"/>
      <c r="D33" s="17"/>
      <c r="E33" s="16"/>
      <c r="F33" s="16"/>
      <c r="G33" s="13"/>
      <c r="H33" s="18"/>
      <c r="I33" s="18"/>
      <c r="J33" s="196"/>
      <c r="K33" s="196"/>
      <c r="L33" s="196"/>
      <c r="M33" s="196"/>
      <c r="N33" s="298"/>
      <c r="O33" s="298"/>
      <c r="P33" s="322"/>
      <c r="Q33" s="363"/>
      <c r="R33" s="298"/>
      <c r="S33" s="298"/>
      <c r="T33" s="298"/>
      <c r="U33" s="298"/>
    </row>
    <row r="34" spans="1:21">
      <c r="A34" s="11">
        <v>29</v>
      </c>
      <c r="B34" s="38" t="s">
        <v>27</v>
      </c>
      <c r="C34" s="13">
        <v>21089</v>
      </c>
      <c r="D34" s="13">
        <v>21307</v>
      </c>
      <c r="E34" s="13">
        <v>21333</v>
      </c>
      <c r="F34" s="13">
        <v>21484</v>
      </c>
      <c r="G34" s="13">
        <v>21649</v>
      </c>
      <c r="H34" s="13">
        <v>53822</v>
      </c>
      <c r="I34" s="13">
        <v>43895</v>
      </c>
      <c r="J34" s="198">
        <v>43947</v>
      </c>
      <c r="K34" s="198">
        <v>46951</v>
      </c>
      <c r="L34" s="198">
        <v>49682</v>
      </c>
      <c r="M34" s="198">
        <v>50578</v>
      </c>
      <c r="N34" s="313">
        <v>51020.2</v>
      </c>
      <c r="O34" s="313">
        <v>51315.199999999997</v>
      </c>
      <c r="P34" s="313">
        <v>51764.6</v>
      </c>
      <c r="Q34" s="313">
        <v>52462</v>
      </c>
      <c r="R34" s="309">
        <v>122377.4</v>
      </c>
      <c r="S34" s="309">
        <v>125825.8</v>
      </c>
      <c r="T34" s="309">
        <v>134434</v>
      </c>
      <c r="U34" s="309">
        <v>137594.39734999998</v>
      </c>
    </row>
    <row r="35" spans="1:21">
      <c r="A35" s="41"/>
      <c r="B35" s="42"/>
      <c r="C35" s="56"/>
      <c r="D35" s="57"/>
      <c r="E35" s="56"/>
      <c r="F35" s="56"/>
      <c r="G35" s="56"/>
      <c r="H35" s="56"/>
      <c r="I35" s="165"/>
      <c r="J35" s="167"/>
      <c r="K35" s="167"/>
      <c r="L35" s="167"/>
      <c r="M35" s="167"/>
      <c r="N35" s="167"/>
      <c r="O35" s="167"/>
      <c r="P35" s="167"/>
      <c r="Q35" s="365"/>
      <c r="R35" s="360"/>
      <c r="S35" s="360"/>
      <c r="T35" s="360"/>
      <c r="U35" s="360"/>
    </row>
    <row r="36" spans="1:21">
      <c r="A36" s="170"/>
      <c r="B36" s="60"/>
      <c r="C36" s="171"/>
      <c r="D36" s="172"/>
      <c r="E36" s="171"/>
      <c r="F36" s="173"/>
      <c r="G36" s="174"/>
      <c r="H36" s="174"/>
      <c r="I36" s="175"/>
      <c r="J36" s="225"/>
      <c r="K36" s="225"/>
      <c r="L36" s="225"/>
      <c r="M36" s="225"/>
      <c r="N36" s="225"/>
      <c r="O36" s="225"/>
      <c r="P36" s="225"/>
      <c r="Q36" s="366"/>
      <c r="R36" s="362"/>
      <c r="S36" s="362"/>
      <c r="T36" s="362"/>
      <c r="U36" s="362"/>
    </row>
    <row r="37" spans="1:21">
      <c r="A37" s="66"/>
      <c r="B37" s="66"/>
      <c r="C37" s="65"/>
      <c r="D37" s="65"/>
      <c r="E37" s="65"/>
      <c r="F37" s="67"/>
      <c r="G37" s="65"/>
      <c r="H37" s="68"/>
      <c r="I37" s="65"/>
      <c r="J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7" width="11.42578125" style="2"/>
    <col min="18" max="18" width="12.7109375" style="78" customWidth="1"/>
    <col min="19"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80</v>
      </c>
      <c r="C2" s="79"/>
      <c r="D2" s="79"/>
      <c r="E2" s="79"/>
      <c r="F2" s="79"/>
      <c r="G2" s="79"/>
      <c r="H2" s="79"/>
      <c r="I2" s="79"/>
      <c r="J2" s="6"/>
      <c r="K2" s="6"/>
      <c r="L2" s="6"/>
      <c r="M2" s="6"/>
      <c r="N2" s="6"/>
      <c r="O2" s="6"/>
      <c r="P2" s="6"/>
      <c r="Q2" s="346"/>
      <c r="R2" s="346"/>
      <c r="S2" s="346"/>
      <c r="T2" s="346"/>
      <c r="U2" s="346"/>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87">
        <f t="shared" ref="C4:I4" si="0">C6+C11+C16+C18</f>
        <v>11327401</v>
      </c>
      <c r="D4" s="87">
        <f t="shared" si="0"/>
        <v>11288629</v>
      </c>
      <c r="E4" s="87">
        <f t="shared" si="0"/>
        <v>11642232</v>
      </c>
      <c r="F4" s="87">
        <f t="shared" si="0"/>
        <v>11058922</v>
      </c>
      <c r="G4" s="87">
        <f t="shared" si="0"/>
        <v>10953020</v>
      </c>
      <c r="H4" s="87">
        <f t="shared" si="0"/>
        <v>8569414</v>
      </c>
      <c r="I4" s="13">
        <f t="shared" si="0"/>
        <v>8339464</v>
      </c>
      <c r="J4" s="198">
        <f t="shared" ref="J4:O4" si="1">J6+J11+J16+J18</f>
        <v>8788473.9800000004</v>
      </c>
      <c r="K4" s="198">
        <f t="shared" si="1"/>
        <v>8365041</v>
      </c>
      <c r="L4" s="198">
        <f t="shared" si="1"/>
        <v>8228648</v>
      </c>
      <c r="M4" s="198">
        <f t="shared" si="1"/>
        <v>8109380.7484419998</v>
      </c>
      <c r="N4" s="198">
        <f t="shared" si="1"/>
        <v>6728375.0641400004</v>
      </c>
      <c r="O4" s="198">
        <f t="shared" si="1"/>
        <v>8438618.9445999991</v>
      </c>
      <c r="P4" s="198">
        <f t="shared" ref="P4:S4" si="2">P6+P11+P16+P18</f>
        <v>8231809.3000000007</v>
      </c>
      <c r="Q4" s="348">
        <f t="shared" si="2"/>
        <v>8080759.5</v>
      </c>
      <c r="R4" s="348">
        <f t="shared" si="2"/>
        <v>10065338.389139999</v>
      </c>
      <c r="S4" s="348">
        <f t="shared" si="2"/>
        <v>7160264.9931800002</v>
      </c>
      <c r="T4" s="348">
        <f t="shared" ref="T4" si="3">T6+T11+T16+T18</f>
        <v>12187563.459509999</v>
      </c>
      <c r="U4" s="348">
        <f t="shared" ref="U4" si="4">U6+U11+U16+U18</f>
        <v>13479959.724210002</v>
      </c>
    </row>
    <row r="5" spans="1:21">
      <c r="A5" s="14"/>
      <c r="B5" s="15"/>
      <c r="C5" s="16"/>
      <c r="D5" s="17"/>
      <c r="E5" s="16"/>
      <c r="F5" s="16"/>
      <c r="G5" s="149"/>
      <c r="H5" s="18"/>
      <c r="I5" s="18"/>
      <c r="J5" s="196"/>
      <c r="K5" s="196"/>
      <c r="L5" s="196"/>
      <c r="M5" s="196"/>
      <c r="N5" s="196"/>
      <c r="O5" s="196"/>
      <c r="P5" s="196"/>
      <c r="Q5" s="298"/>
      <c r="R5" s="298"/>
      <c r="S5" s="298"/>
      <c r="T5" s="298"/>
      <c r="U5" s="298"/>
    </row>
    <row r="6" spans="1:21">
      <c r="A6" s="19">
        <v>10</v>
      </c>
      <c r="B6" s="12" t="s">
        <v>6</v>
      </c>
      <c r="C6" s="13">
        <f t="shared" ref="C6:I6" si="5">C7+C8+C9</f>
        <v>2415988</v>
      </c>
      <c r="D6" s="13">
        <f t="shared" si="5"/>
        <v>2476154</v>
      </c>
      <c r="E6" s="13">
        <f t="shared" si="5"/>
        <v>3008406</v>
      </c>
      <c r="F6" s="13">
        <f t="shared" si="5"/>
        <v>3003165</v>
      </c>
      <c r="G6" s="13">
        <f t="shared" si="5"/>
        <v>3063087</v>
      </c>
      <c r="H6" s="13">
        <f t="shared" si="5"/>
        <v>3191012</v>
      </c>
      <c r="I6" s="13">
        <f t="shared" si="5"/>
        <v>3097370</v>
      </c>
      <c r="J6" s="198">
        <f t="shared" ref="J6:O6" si="6">J7+J8+J9</f>
        <v>3548148.9800000004</v>
      </c>
      <c r="K6" s="198">
        <f t="shared" si="6"/>
        <v>3413597</v>
      </c>
      <c r="L6" s="198">
        <f t="shared" si="6"/>
        <v>3377805</v>
      </c>
      <c r="M6" s="198">
        <f t="shared" si="6"/>
        <v>3359007.6092599998</v>
      </c>
      <c r="N6" s="198">
        <f t="shared" si="6"/>
        <v>1974454.0427600001</v>
      </c>
      <c r="O6" s="198">
        <f t="shared" si="6"/>
        <v>3319417.1244799998</v>
      </c>
      <c r="P6" s="198">
        <f t="shared" ref="P6:S6" si="7">P7+P8+P9</f>
        <v>3309405.2</v>
      </c>
      <c r="Q6" s="348">
        <f t="shared" si="7"/>
        <v>3324048.6000000006</v>
      </c>
      <c r="R6" s="348">
        <f t="shared" si="7"/>
        <v>3349365.7931499993</v>
      </c>
      <c r="S6" s="348">
        <f t="shared" si="7"/>
        <v>3903054.05602</v>
      </c>
      <c r="T6" s="348">
        <f t="shared" ref="T6" si="8">T7+T8+T9</f>
        <v>3970685.0351199997</v>
      </c>
      <c r="U6" s="348">
        <f t="shared" ref="U6" si="9">U7+U8+U9</f>
        <v>5398078.2018900001</v>
      </c>
    </row>
    <row r="7" spans="1:21">
      <c r="A7" s="20" t="s">
        <v>7</v>
      </c>
      <c r="B7" s="21" t="s">
        <v>8</v>
      </c>
      <c r="C7" s="164">
        <v>1993867</v>
      </c>
      <c r="D7" s="164">
        <v>2049785</v>
      </c>
      <c r="E7" s="164">
        <v>2641418</v>
      </c>
      <c r="F7" s="164">
        <v>2636415</v>
      </c>
      <c r="G7" s="164">
        <v>2677431</v>
      </c>
      <c r="H7" s="164">
        <v>2567758</v>
      </c>
      <c r="I7" s="164">
        <v>2468103</v>
      </c>
      <c r="J7" s="196">
        <f>74692+2470528.49</f>
        <v>2545220.4900000002</v>
      </c>
      <c r="K7" s="196">
        <f>88670+2724207</f>
        <v>2812877</v>
      </c>
      <c r="L7" s="196">
        <v>2768969</v>
      </c>
      <c r="M7" s="196">
        <v>2710078.5329499999</v>
      </c>
      <c r="N7" s="298">
        <v>1252114.66289</v>
      </c>
      <c r="O7" s="298">
        <v>2629183.9619199997</v>
      </c>
      <c r="P7" s="327">
        <v>2651086.1</v>
      </c>
      <c r="Q7" s="327">
        <v>2614124.7000000002</v>
      </c>
      <c r="R7" s="372">
        <v>2652562.4787899996</v>
      </c>
      <c r="S7" s="298">
        <v>3167508.3029</v>
      </c>
      <c r="T7" s="298">
        <v>3035200.33488</v>
      </c>
      <c r="U7" s="298">
        <v>3556917.9816100001</v>
      </c>
    </row>
    <row r="8" spans="1:21">
      <c r="A8" s="25">
        <v>102</v>
      </c>
      <c r="B8" s="26" t="s">
        <v>9</v>
      </c>
      <c r="C8" s="164">
        <v>302618</v>
      </c>
      <c r="D8" s="164">
        <v>301556</v>
      </c>
      <c r="E8" s="164">
        <v>279649</v>
      </c>
      <c r="F8" s="164">
        <v>257829</v>
      </c>
      <c r="G8" s="164">
        <v>296745</v>
      </c>
      <c r="H8" s="164">
        <v>263086</v>
      </c>
      <c r="I8" s="164">
        <v>252085</v>
      </c>
      <c r="J8" s="199">
        <v>235691.49</v>
      </c>
      <c r="K8" s="199">
        <v>203347</v>
      </c>
      <c r="L8" s="199">
        <v>203603</v>
      </c>
      <c r="M8" s="199">
        <v>203836.78245</v>
      </c>
      <c r="N8" s="300">
        <v>216815.02674999999</v>
      </c>
      <c r="O8" s="300">
        <v>203183.77594999998</v>
      </c>
      <c r="P8" s="328">
        <v>188956</v>
      </c>
      <c r="Q8" s="328">
        <v>164420.1</v>
      </c>
      <c r="R8" s="374">
        <v>159867.86882</v>
      </c>
      <c r="S8" s="300">
        <v>158974.99933000002</v>
      </c>
      <c r="T8" s="300">
        <v>203986.94225000002</v>
      </c>
      <c r="U8" s="300">
        <v>161301.76182999997</v>
      </c>
    </row>
    <row r="9" spans="1:21">
      <c r="A9" s="25">
        <v>103</v>
      </c>
      <c r="B9" s="26" t="s">
        <v>10</v>
      </c>
      <c r="C9" s="164">
        <v>119503</v>
      </c>
      <c r="D9" s="164">
        <v>124813</v>
      </c>
      <c r="E9" s="164">
        <v>87339</v>
      </c>
      <c r="F9" s="164">
        <v>108921</v>
      </c>
      <c r="G9" s="164">
        <v>88911</v>
      </c>
      <c r="H9" s="164">
        <v>360168</v>
      </c>
      <c r="I9" s="164">
        <v>377182</v>
      </c>
      <c r="J9" s="196">
        <v>767237</v>
      </c>
      <c r="K9" s="196">
        <v>397373</v>
      </c>
      <c r="L9" s="196">
        <v>405233</v>
      </c>
      <c r="M9" s="196">
        <v>445092.29385999998</v>
      </c>
      <c r="N9" s="298">
        <v>505524.35311999999</v>
      </c>
      <c r="O9" s="298">
        <v>487049.38660999999</v>
      </c>
      <c r="P9" s="327">
        <v>469363.1</v>
      </c>
      <c r="Q9" s="327">
        <v>545503.80000000005</v>
      </c>
      <c r="R9" s="372">
        <v>536935.44553999999</v>
      </c>
      <c r="S9" s="298">
        <v>576570.7537900001</v>
      </c>
      <c r="T9" s="298">
        <v>731497.75798999995</v>
      </c>
      <c r="U9" s="298">
        <v>1679858.45845</v>
      </c>
    </row>
    <row r="10" spans="1:21">
      <c r="A10" s="28"/>
      <c r="B10" s="29"/>
      <c r="C10" s="30"/>
      <c r="D10" s="31"/>
      <c r="E10" s="30"/>
      <c r="F10" s="30"/>
      <c r="G10" s="149"/>
      <c r="H10" s="18"/>
      <c r="I10" s="18"/>
      <c r="J10" s="196"/>
      <c r="K10" s="196"/>
      <c r="L10" s="196"/>
      <c r="M10" s="196"/>
      <c r="N10" s="196"/>
      <c r="O10" s="196"/>
      <c r="P10" s="196"/>
      <c r="Q10" s="367"/>
      <c r="R10" s="372"/>
      <c r="S10" s="298"/>
      <c r="T10" s="298"/>
      <c r="U10" s="298"/>
    </row>
    <row r="11" spans="1:21">
      <c r="A11" s="19">
        <v>11</v>
      </c>
      <c r="B11" s="12" t="s">
        <v>11</v>
      </c>
      <c r="C11" s="13">
        <f t="shared" ref="C11:I11" si="10">C12+C13+C14</f>
        <v>3537350</v>
      </c>
      <c r="D11" s="13">
        <f t="shared" si="10"/>
        <v>3536257</v>
      </c>
      <c r="E11" s="13">
        <f t="shared" si="10"/>
        <v>3628589</v>
      </c>
      <c r="F11" s="13">
        <f t="shared" si="10"/>
        <v>3751520</v>
      </c>
      <c r="G11" s="13">
        <f t="shared" si="10"/>
        <v>2908756</v>
      </c>
      <c r="H11" s="13">
        <f t="shared" si="10"/>
        <v>2851957</v>
      </c>
      <c r="I11" s="13">
        <f t="shared" si="10"/>
        <v>2878311</v>
      </c>
      <c r="J11" s="198">
        <f t="shared" ref="J11:O11" si="11">J12+J13+J14</f>
        <v>2845744</v>
      </c>
      <c r="K11" s="198">
        <f t="shared" si="11"/>
        <v>2666994</v>
      </c>
      <c r="L11" s="198">
        <f t="shared" si="11"/>
        <v>2814212</v>
      </c>
      <c r="M11" s="198">
        <f t="shared" si="11"/>
        <v>2956116.3189020003</v>
      </c>
      <c r="N11" s="198">
        <f t="shared" si="11"/>
        <v>3005098.12017</v>
      </c>
      <c r="O11" s="198">
        <f t="shared" si="11"/>
        <v>3156768.9095000001</v>
      </c>
      <c r="P11" s="198">
        <f t="shared" ref="P11:S11" si="12">P12+P13+P14</f>
        <v>3082159</v>
      </c>
      <c r="Q11" s="348">
        <f t="shared" si="12"/>
        <v>3102471.8</v>
      </c>
      <c r="R11" s="348">
        <f t="shared" si="12"/>
        <v>3175111.83892</v>
      </c>
      <c r="S11" s="348">
        <f t="shared" si="12"/>
        <v>3257210.9371600002</v>
      </c>
      <c r="T11" s="348">
        <f t="shared" ref="T11" si="13">T12+T13+T14</f>
        <v>8216878.4243899994</v>
      </c>
      <c r="U11" s="348">
        <f t="shared" ref="U11" si="14">U12+U13+U14</f>
        <v>8081881.5223200005</v>
      </c>
    </row>
    <row r="12" spans="1:21">
      <c r="A12" s="32">
        <v>114</v>
      </c>
      <c r="B12" s="21" t="s">
        <v>12</v>
      </c>
      <c r="C12" s="164">
        <v>1572633</v>
      </c>
      <c r="D12" s="164">
        <v>1682169</v>
      </c>
      <c r="E12" s="164">
        <v>1871416</v>
      </c>
      <c r="F12" s="164">
        <v>1934901</v>
      </c>
      <c r="G12" s="164">
        <v>1425800</v>
      </c>
      <c r="H12" s="164">
        <v>1424573</v>
      </c>
      <c r="I12" s="164">
        <v>1452489</v>
      </c>
      <c r="J12" s="196">
        <v>1380833</v>
      </c>
      <c r="K12" s="196">
        <v>1233088</v>
      </c>
      <c r="L12" s="196">
        <v>1330178</v>
      </c>
      <c r="M12" s="196">
        <v>1450316.77373</v>
      </c>
      <c r="N12" s="298">
        <v>1537524.88421</v>
      </c>
      <c r="O12" s="298">
        <v>1685464.1902699999</v>
      </c>
      <c r="P12" s="327">
        <v>1605286.3</v>
      </c>
      <c r="Q12" s="327">
        <v>1659472.3</v>
      </c>
      <c r="R12" s="372">
        <v>1735625.5495899997</v>
      </c>
      <c r="S12" s="298">
        <v>1812085.5485800002</v>
      </c>
      <c r="T12" s="298">
        <v>5186098.2968799993</v>
      </c>
      <c r="U12" s="298">
        <v>5146636.0710000005</v>
      </c>
    </row>
    <row r="13" spans="1:21">
      <c r="A13" s="25">
        <v>115</v>
      </c>
      <c r="B13" s="26" t="s">
        <v>13</v>
      </c>
      <c r="C13" s="164">
        <v>982664</v>
      </c>
      <c r="D13" s="164">
        <v>818185</v>
      </c>
      <c r="E13" s="164">
        <v>662046</v>
      </c>
      <c r="F13" s="164">
        <v>666401</v>
      </c>
      <c r="G13" s="164">
        <v>886981</v>
      </c>
      <c r="H13" s="164">
        <v>845306</v>
      </c>
      <c r="I13" s="164">
        <v>849132</v>
      </c>
      <c r="J13" s="199">
        <v>810579</v>
      </c>
      <c r="K13" s="199">
        <v>752091</v>
      </c>
      <c r="L13" s="199">
        <v>754530</v>
      </c>
      <c r="M13" s="199">
        <v>758440.74725999997</v>
      </c>
      <c r="N13" s="300">
        <v>761938.73575999995</v>
      </c>
      <c r="O13" s="300">
        <v>752150.41515999998</v>
      </c>
      <c r="P13" s="328">
        <v>759360.1</v>
      </c>
      <c r="Q13" s="328">
        <v>731398.6</v>
      </c>
      <c r="R13" s="374">
        <v>716706.49186000007</v>
      </c>
      <c r="S13" s="300">
        <v>702323.39055999997</v>
      </c>
      <c r="T13" s="300">
        <v>1191072.4020400001</v>
      </c>
      <c r="U13" s="300">
        <v>1178670.47413</v>
      </c>
    </row>
    <row r="14" spans="1:21">
      <c r="A14" s="33" t="s">
        <v>14</v>
      </c>
      <c r="B14" s="34" t="s">
        <v>15</v>
      </c>
      <c r="C14" s="164">
        <v>982053</v>
      </c>
      <c r="D14" s="164">
        <v>1035903</v>
      </c>
      <c r="E14" s="164">
        <v>1095127</v>
      </c>
      <c r="F14" s="164">
        <v>1150218</v>
      </c>
      <c r="G14" s="164">
        <v>595975</v>
      </c>
      <c r="H14" s="164">
        <v>582078</v>
      </c>
      <c r="I14" s="164">
        <v>576690</v>
      </c>
      <c r="J14" s="196">
        <v>654332</v>
      </c>
      <c r="K14" s="196">
        <f>681815</f>
        <v>681815</v>
      </c>
      <c r="L14" s="196">
        <v>729504</v>
      </c>
      <c r="M14" s="196">
        <v>747358.7979120001</v>
      </c>
      <c r="N14" s="298">
        <v>705634.50020000001</v>
      </c>
      <c r="O14" s="298">
        <v>719154.30407000007</v>
      </c>
      <c r="P14" s="327">
        <v>717512.6</v>
      </c>
      <c r="Q14" s="327">
        <v>711600.9</v>
      </c>
      <c r="R14" s="372">
        <v>722779.79746999999</v>
      </c>
      <c r="S14" s="298">
        <v>742801.99801999994</v>
      </c>
      <c r="T14" s="298">
        <v>1839707.7254699999</v>
      </c>
      <c r="U14" s="298">
        <v>1756574.97719</v>
      </c>
    </row>
    <row r="15" spans="1:21">
      <c r="A15" s="35"/>
      <c r="B15" s="36"/>
      <c r="C15" s="30"/>
      <c r="D15" s="31"/>
      <c r="E15" s="30"/>
      <c r="F15" s="30"/>
      <c r="G15" s="149"/>
      <c r="H15" s="37"/>
      <c r="I15" s="156"/>
      <c r="J15" s="200"/>
      <c r="K15" s="200"/>
      <c r="L15" s="200"/>
      <c r="M15" s="200"/>
      <c r="N15" s="305"/>
      <c r="O15" s="305"/>
      <c r="P15" s="305"/>
      <c r="Q15" s="329"/>
      <c r="R15" s="373"/>
      <c r="S15" s="305"/>
      <c r="T15" s="305"/>
      <c r="U15" s="305"/>
    </row>
    <row r="16" spans="1:21">
      <c r="A16" s="11">
        <v>12</v>
      </c>
      <c r="B16" s="38" t="s">
        <v>16</v>
      </c>
      <c r="C16" s="13">
        <v>0</v>
      </c>
      <c r="D16" s="13">
        <v>0</v>
      </c>
      <c r="E16" s="13">
        <v>0</v>
      </c>
      <c r="F16" s="13">
        <v>0</v>
      </c>
      <c r="G16" s="13">
        <v>487</v>
      </c>
      <c r="H16" s="13">
        <v>163</v>
      </c>
      <c r="I16" s="13">
        <v>0</v>
      </c>
      <c r="J16" s="198">
        <v>0</v>
      </c>
      <c r="K16" s="198">
        <v>320</v>
      </c>
      <c r="L16" s="198">
        <v>2558</v>
      </c>
      <c r="M16" s="198">
        <v>2247.7447000000002</v>
      </c>
      <c r="N16" s="313">
        <v>1378.50144</v>
      </c>
      <c r="O16" s="313">
        <v>1566.5712699999999</v>
      </c>
      <c r="P16" s="313">
        <v>0</v>
      </c>
      <c r="Q16" s="313">
        <v>0</v>
      </c>
      <c r="R16" s="313"/>
      <c r="S16" s="388">
        <v>0</v>
      </c>
      <c r="T16" s="388">
        <v>0</v>
      </c>
      <c r="U16" s="388">
        <v>0</v>
      </c>
    </row>
    <row r="17" spans="1:21">
      <c r="A17" s="39"/>
      <c r="B17" s="40"/>
      <c r="C17" s="16"/>
      <c r="D17" s="17"/>
      <c r="E17" s="16"/>
      <c r="F17" s="16"/>
      <c r="G17" s="91"/>
      <c r="H17" s="18"/>
      <c r="I17" s="18"/>
      <c r="J17" s="196"/>
      <c r="K17" s="196"/>
      <c r="L17" s="196"/>
      <c r="M17" s="196"/>
      <c r="N17" s="298"/>
      <c r="O17" s="298"/>
      <c r="P17" s="327"/>
      <c r="Q17" s="327"/>
      <c r="R17" s="298"/>
      <c r="S17" s="298"/>
      <c r="T17" s="298"/>
      <c r="U17" s="298"/>
    </row>
    <row r="18" spans="1:21">
      <c r="A18" s="11">
        <v>13</v>
      </c>
      <c r="B18" s="38" t="s">
        <v>17</v>
      </c>
      <c r="C18" s="13">
        <v>5374063</v>
      </c>
      <c r="D18" s="13">
        <v>5276218</v>
      </c>
      <c r="E18" s="13">
        <v>5005237</v>
      </c>
      <c r="F18" s="13">
        <v>4304237</v>
      </c>
      <c r="G18" s="13">
        <v>4980690</v>
      </c>
      <c r="H18" s="13">
        <v>2526282</v>
      </c>
      <c r="I18" s="13">
        <v>2363783</v>
      </c>
      <c r="J18" s="198">
        <v>2394581</v>
      </c>
      <c r="K18" s="198">
        <v>2284130</v>
      </c>
      <c r="L18" s="198">
        <v>2034073</v>
      </c>
      <c r="M18" s="198">
        <v>1792009.0755799999</v>
      </c>
      <c r="N18" s="313">
        <v>1747444.39977</v>
      </c>
      <c r="O18" s="313">
        <v>1960866.3393499998</v>
      </c>
      <c r="P18" s="313">
        <v>1840245.1</v>
      </c>
      <c r="Q18" s="313">
        <v>1654239.1</v>
      </c>
      <c r="R18" s="371">
        <v>3540860.7570700003</v>
      </c>
      <c r="S18" s="388"/>
      <c r="T18" s="388"/>
      <c r="U18" s="388"/>
    </row>
    <row r="19" spans="1:21">
      <c r="A19" s="41"/>
      <c r="B19" s="42"/>
      <c r="C19" s="22"/>
      <c r="D19" s="23"/>
      <c r="E19" s="22"/>
      <c r="F19" s="22"/>
      <c r="G19" s="56"/>
      <c r="H19" s="18"/>
      <c r="I19" s="18"/>
      <c r="J19" s="196"/>
      <c r="K19" s="196"/>
      <c r="L19" s="196"/>
      <c r="M19" s="196"/>
      <c r="N19" s="298"/>
      <c r="O19" s="298"/>
      <c r="P19" s="327"/>
      <c r="Q19" s="327"/>
      <c r="R19" s="298"/>
      <c r="S19" s="298"/>
      <c r="T19" s="298"/>
      <c r="U19" s="298"/>
    </row>
    <row r="20" spans="1:21">
      <c r="A20" s="43"/>
      <c r="B20" s="36"/>
      <c r="C20" s="30"/>
      <c r="D20" s="31"/>
      <c r="E20" s="30"/>
      <c r="F20" s="30"/>
      <c r="G20" s="150"/>
      <c r="H20" s="37"/>
      <c r="I20" s="156"/>
      <c r="J20" s="200"/>
      <c r="K20" s="200"/>
      <c r="L20" s="200"/>
      <c r="M20" s="200"/>
      <c r="N20" s="305"/>
      <c r="O20" s="305"/>
      <c r="P20" s="329"/>
      <c r="Q20" s="329"/>
      <c r="R20" s="305"/>
      <c r="S20" s="305"/>
      <c r="T20" s="305"/>
      <c r="U20" s="305"/>
    </row>
    <row r="21" spans="1:21">
      <c r="A21" s="11">
        <v>2</v>
      </c>
      <c r="B21" s="38" t="s">
        <v>18</v>
      </c>
      <c r="C21" s="13">
        <f>+C23+C28+C30+C32+C34</f>
        <v>11327401</v>
      </c>
      <c r="D21" s="13">
        <f t="shared" ref="D21:I21" si="15">D23+D28+D30+D32+D34</f>
        <v>11288629</v>
      </c>
      <c r="E21" s="13">
        <f t="shared" si="15"/>
        <v>11642232</v>
      </c>
      <c r="F21" s="13">
        <f t="shared" si="15"/>
        <v>11058922</v>
      </c>
      <c r="G21" s="13">
        <f t="shared" si="15"/>
        <v>10953020</v>
      </c>
      <c r="H21" s="13">
        <f t="shared" si="15"/>
        <v>8569414</v>
      </c>
      <c r="I21" s="13">
        <f t="shared" si="15"/>
        <v>8339464</v>
      </c>
      <c r="J21" s="198">
        <f t="shared" ref="J21:O21" si="16">J23+J28+J30+J32+J34</f>
        <v>8788474</v>
      </c>
      <c r="K21" s="198">
        <f t="shared" si="16"/>
        <v>8365041</v>
      </c>
      <c r="L21" s="198">
        <f t="shared" si="16"/>
        <v>8228648</v>
      </c>
      <c r="M21" s="198">
        <f t="shared" si="16"/>
        <v>8109380.77042</v>
      </c>
      <c r="N21" s="198">
        <f t="shared" si="16"/>
        <v>7915210.5219600005</v>
      </c>
      <c r="O21" s="198">
        <f t="shared" si="16"/>
        <v>8438618.9445999991</v>
      </c>
      <c r="P21" s="198">
        <f t="shared" ref="P21:Q21" si="17">P23+P28+P30+P32+P34</f>
        <v>8231809.2000000002</v>
      </c>
      <c r="Q21" s="348">
        <f t="shared" si="17"/>
        <v>8080759.3830000004</v>
      </c>
      <c r="R21" s="348">
        <f>R23+R28+R30+R32+R34</f>
        <v>10065338.415139999</v>
      </c>
      <c r="S21" s="348">
        <f>S23+S28+S30+S32+S34</f>
        <v>7160264.9931799993</v>
      </c>
      <c r="T21" s="348">
        <f>T23+T28+T30+T32+T34</f>
        <v>12187563.45951</v>
      </c>
      <c r="U21" s="348">
        <f>U23+U28+U30+U32+U34</f>
        <v>13479959.72421</v>
      </c>
    </row>
    <row r="22" spans="1:21">
      <c r="A22" s="44"/>
      <c r="B22" s="45"/>
      <c r="C22" s="16"/>
      <c r="D22" s="17"/>
      <c r="E22" s="16"/>
      <c r="F22" s="16"/>
      <c r="G22" s="56"/>
      <c r="H22" s="18"/>
      <c r="I22" s="18"/>
      <c r="J22" s="196"/>
      <c r="K22" s="196"/>
      <c r="L22" s="196"/>
      <c r="M22" s="196"/>
      <c r="N22" s="196"/>
      <c r="O22" s="196"/>
      <c r="P22" s="326"/>
      <c r="Q22" s="327"/>
      <c r="R22" s="298"/>
      <c r="S22" s="298"/>
      <c r="T22" s="298"/>
      <c r="U22" s="298"/>
    </row>
    <row r="23" spans="1:21">
      <c r="A23" s="46">
        <v>20</v>
      </c>
      <c r="B23" s="47" t="s">
        <v>19</v>
      </c>
      <c r="C23" s="13">
        <f t="shared" ref="C23:I23" si="18">C24+C25+C26</f>
        <v>8153423</v>
      </c>
      <c r="D23" s="13">
        <f t="shared" si="18"/>
        <v>9719852</v>
      </c>
      <c r="E23" s="13">
        <f t="shared" si="18"/>
        <v>10399898</v>
      </c>
      <c r="F23" s="13">
        <f t="shared" si="18"/>
        <v>10284862</v>
      </c>
      <c r="G23" s="13">
        <f t="shared" si="18"/>
        <v>10152961</v>
      </c>
      <c r="H23" s="13">
        <f t="shared" si="18"/>
        <v>7434393</v>
      </c>
      <c r="I23" s="13">
        <f t="shared" si="18"/>
        <v>7109226</v>
      </c>
      <c r="J23" s="198">
        <f t="shared" ref="J23:O23" si="19">J24+J25+J26</f>
        <v>6829852</v>
      </c>
      <c r="K23" s="198">
        <f t="shared" si="19"/>
        <v>6134867</v>
      </c>
      <c r="L23" s="198">
        <f t="shared" si="19"/>
        <v>6064506</v>
      </c>
      <c r="M23" s="198">
        <f t="shared" si="19"/>
        <v>6020589.8327500001</v>
      </c>
      <c r="N23" s="198">
        <f t="shared" si="19"/>
        <v>5858574.6343800006</v>
      </c>
      <c r="O23" s="198">
        <f t="shared" si="19"/>
        <v>6646981.4285099991</v>
      </c>
      <c r="P23" s="198">
        <f t="shared" ref="P23:Q23" si="20">P24+P25+P26</f>
        <v>6627967.5999999996</v>
      </c>
      <c r="Q23" s="348">
        <f t="shared" si="20"/>
        <v>6599534.4000000004</v>
      </c>
      <c r="R23" s="348">
        <f>R24+R25+R26</f>
        <v>7219221.7927400004</v>
      </c>
      <c r="S23" s="348">
        <f>S24+S25+S26</f>
        <v>7755838.7685900005</v>
      </c>
      <c r="T23" s="348">
        <f>T24+T25+T26</f>
        <v>9272714.18829</v>
      </c>
      <c r="U23" s="348">
        <f>U24+U25+U26</f>
        <v>10422540.518620001</v>
      </c>
    </row>
    <row r="24" spans="1:21">
      <c r="A24" s="48" t="s">
        <v>20</v>
      </c>
      <c r="B24" s="49" t="s">
        <v>21</v>
      </c>
      <c r="C24" s="164">
        <v>2537758</v>
      </c>
      <c r="D24" s="164">
        <v>2974287</v>
      </c>
      <c r="E24" s="164">
        <v>3961604</v>
      </c>
      <c r="F24" s="164">
        <v>3188544</v>
      </c>
      <c r="G24" s="164">
        <v>2971837</v>
      </c>
      <c r="H24" s="164">
        <v>1104168</v>
      </c>
      <c r="I24" s="164">
        <v>1527330</v>
      </c>
      <c r="J24" s="196">
        <f>822642+1308666</f>
        <v>2131308</v>
      </c>
      <c r="K24" s="196">
        <f>1173217+854644</f>
        <v>2027861</v>
      </c>
      <c r="L24" s="196">
        <v>1361076</v>
      </c>
      <c r="M24" s="196">
        <v>1337271.5783500001</v>
      </c>
      <c r="N24" s="298">
        <v>1768919.3709</v>
      </c>
      <c r="O24" s="298">
        <v>2037544.6481599999</v>
      </c>
      <c r="P24" s="327">
        <v>1856432.5</v>
      </c>
      <c r="Q24" s="327">
        <v>1630678.6</v>
      </c>
      <c r="R24" s="372">
        <v>1240556.4227300002</v>
      </c>
      <c r="S24" s="298">
        <v>1703247.2917599999</v>
      </c>
      <c r="T24" s="298">
        <v>2050908.2170500001</v>
      </c>
      <c r="U24" s="298">
        <v>1988175.5371400001</v>
      </c>
    </row>
    <row r="25" spans="1:21">
      <c r="A25" s="50">
        <v>202</v>
      </c>
      <c r="B25" s="51" t="s">
        <v>22</v>
      </c>
      <c r="C25" s="164">
        <v>5435844</v>
      </c>
      <c r="D25" s="164">
        <v>6578249</v>
      </c>
      <c r="E25" s="164">
        <v>6184877</v>
      </c>
      <c r="F25" s="164">
        <v>6861244</v>
      </c>
      <c r="G25" s="164">
        <v>6937829</v>
      </c>
      <c r="H25" s="164">
        <v>6077848</v>
      </c>
      <c r="I25" s="164">
        <v>5247996</v>
      </c>
      <c r="J25" s="199">
        <v>4350187</v>
      </c>
      <c r="K25" s="199">
        <v>3779997</v>
      </c>
      <c r="L25" s="199">
        <v>4210621</v>
      </c>
      <c r="M25" s="199">
        <v>4192711.4497600002</v>
      </c>
      <c r="N25" s="300">
        <v>3692460.6006100001</v>
      </c>
      <c r="O25" s="300">
        <v>4133152.49976</v>
      </c>
      <c r="P25" s="328">
        <v>4294749</v>
      </c>
      <c r="Q25" s="328">
        <v>4474309.9000000004</v>
      </c>
      <c r="R25" s="374">
        <v>5287759.4412000002</v>
      </c>
      <c r="S25" s="300">
        <v>5332751.33672</v>
      </c>
      <c r="T25" s="300">
        <v>6288779.9344600001</v>
      </c>
      <c r="U25" s="300">
        <v>6416807.2864100002</v>
      </c>
    </row>
    <row r="26" spans="1:21">
      <c r="A26" s="50">
        <v>205</v>
      </c>
      <c r="B26" s="52" t="s">
        <v>23</v>
      </c>
      <c r="C26" s="164">
        <v>179821</v>
      </c>
      <c r="D26" s="164">
        <v>167316</v>
      </c>
      <c r="E26" s="164">
        <v>253417</v>
      </c>
      <c r="F26" s="164">
        <v>235074</v>
      </c>
      <c r="G26" s="164">
        <v>243295</v>
      </c>
      <c r="H26" s="164">
        <v>252377</v>
      </c>
      <c r="I26" s="164">
        <v>333900</v>
      </c>
      <c r="J26" s="196">
        <v>348357</v>
      </c>
      <c r="K26" s="196">
        <v>327009</v>
      </c>
      <c r="L26" s="196">
        <v>492809</v>
      </c>
      <c r="M26" s="196">
        <v>490606.80463999999</v>
      </c>
      <c r="N26" s="298">
        <v>397194.66287</v>
      </c>
      <c r="O26" s="298">
        <v>476284.28058999998</v>
      </c>
      <c r="P26" s="327">
        <v>476786.1</v>
      </c>
      <c r="Q26" s="327">
        <v>494545.9</v>
      </c>
      <c r="R26" s="372">
        <v>690905.92880999995</v>
      </c>
      <c r="S26" s="298">
        <v>719840.14011000004</v>
      </c>
      <c r="T26" s="298">
        <v>933026.03677999997</v>
      </c>
      <c r="U26" s="298">
        <v>2017557.6950699999</v>
      </c>
    </row>
    <row r="27" spans="1:21">
      <c r="A27" s="35"/>
      <c r="B27" s="36"/>
      <c r="C27" s="30"/>
      <c r="D27" s="31"/>
      <c r="E27" s="30"/>
      <c r="F27" s="30"/>
      <c r="G27" s="150"/>
      <c r="H27" s="37"/>
      <c r="I27" s="156"/>
      <c r="J27" s="200"/>
      <c r="K27" s="200"/>
      <c r="L27" s="200"/>
      <c r="M27" s="200"/>
      <c r="N27" s="305"/>
      <c r="O27" s="305"/>
      <c r="P27" s="329"/>
      <c r="Q27" s="329"/>
      <c r="R27" s="373"/>
      <c r="S27" s="305"/>
      <c r="T27" s="305"/>
      <c r="U27" s="305"/>
    </row>
    <row r="28" spans="1:21">
      <c r="A28" s="11">
        <v>23</v>
      </c>
      <c r="B28" s="38" t="s">
        <v>24</v>
      </c>
      <c r="C28" s="13">
        <v>1380000</v>
      </c>
      <c r="D28" s="13">
        <v>0</v>
      </c>
      <c r="E28" s="13">
        <v>0</v>
      </c>
      <c r="F28" s="13">
        <v>0</v>
      </c>
      <c r="G28" s="13">
        <v>0</v>
      </c>
      <c r="H28" s="13">
        <v>0</v>
      </c>
      <c r="I28" s="13">
        <v>0</v>
      </c>
      <c r="J28" s="198">
        <v>0</v>
      </c>
      <c r="K28" s="198">
        <v>0</v>
      </c>
      <c r="L28" s="198">
        <v>0</v>
      </c>
      <c r="M28" s="198">
        <v>0</v>
      </c>
      <c r="N28" s="313">
        <v>0</v>
      </c>
      <c r="O28" s="313">
        <v>0</v>
      </c>
      <c r="P28" s="313">
        <v>0</v>
      </c>
      <c r="Q28" s="313">
        <v>0</v>
      </c>
      <c r="R28" s="371">
        <v>0</v>
      </c>
      <c r="S28" s="388"/>
      <c r="T28" s="388"/>
      <c r="U28" s="388"/>
    </row>
    <row r="29" spans="1:21">
      <c r="A29" s="53"/>
      <c r="B29" s="40"/>
      <c r="C29" s="16"/>
      <c r="D29" s="17"/>
      <c r="E29" s="16"/>
      <c r="F29" s="16"/>
      <c r="G29" s="148"/>
      <c r="H29" s="18"/>
      <c r="I29" s="18"/>
      <c r="J29" s="196"/>
      <c r="K29" s="196"/>
      <c r="L29" s="196"/>
      <c r="M29" s="196"/>
      <c r="N29" s="298"/>
      <c r="O29" s="298"/>
      <c r="P29" s="327"/>
      <c r="Q29" s="367"/>
      <c r="R29" s="372"/>
      <c r="S29" s="298"/>
      <c r="T29" s="298"/>
      <c r="U29" s="298"/>
    </row>
    <row r="30" spans="1:21">
      <c r="A30" s="11">
        <v>24</v>
      </c>
      <c r="B30" s="38" t="s">
        <v>25</v>
      </c>
      <c r="C30" s="13">
        <v>1134794</v>
      </c>
      <c r="D30" s="13">
        <v>914194</v>
      </c>
      <c r="E30" s="13">
        <v>633633</v>
      </c>
      <c r="F30" s="13">
        <v>173760</v>
      </c>
      <c r="G30" s="13">
        <v>183945</v>
      </c>
      <c r="H30" s="13">
        <v>322791</v>
      </c>
      <c r="I30" s="13">
        <v>371196</v>
      </c>
      <c r="J30" s="198">
        <v>987354</v>
      </c>
      <c r="K30" s="198">
        <v>1024298</v>
      </c>
      <c r="L30" s="198">
        <v>871965</v>
      </c>
      <c r="M30" s="198">
        <v>816916.58198000002</v>
      </c>
      <c r="N30" s="313">
        <v>880315.27124999999</v>
      </c>
      <c r="O30" s="313">
        <v>816328.21285999997</v>
      </c>
      <c r="P30" s="313">
        <v>789137.7</v>
      </c>
      <c r="Q30" s="313">
        <v>731417.5</v>
      </c>
      <c r="R30" s="371">
        <v>1970461.2493699999</v>
      </c>
      <c r="S30" s="388">
        <v>1862881.6637199998</v>
      </c>
      <c r="T30" s="388">
        <v>1861421.4733599999</v>
      </c>
      <c r="U30" s="388">
        <v>1866326.1315900001</v>
      </c>
    </row>
    <row r="31" spans="1:21">
      <c r="A31" s="44"/>
      <c r="B31" s="45"/>
      <c r="C31" s="164"/>
      <c r="D31" s="17"/>
      <c r="E31" s="16"/>
      <c r="F31" s="16"/>
      <c r="G31" s="13"/>
      <c r="H31" s="18"/>
      <c r="I31" s="18"/>
      <c r="J31" s="196"/>
      <c r="K31" s="196"/>
      <c r="L31" s="196"/>
      <c r="M31" s="196"/>
      <c r="N31" s="298"/>
      <c r="O31" s="298"/>
      <c r="P31" s="327"/>
      <c r="Q31" s="367"/>
      <c r="R31" s="372"/>
      <c r="S31" s="298"/>
      <c r="T31" s="298"/>
      <c r="U31" s="298"/>
    </row>
    <row r="32" spans="1:21">
      <c r="A32" s="54">
        <v>28</v>
      </c>
      <c r="B32" s="47" t="s">
        <v>26</v>
      </c>
      <c r="C32" s="13">
        <v>659184</v>
      </c>
      <c r="D32" s="13">
        <v>654583</v>
      </c>
      <c r="E32" s="13">
        <v>608701</v>
      </c>
      <c r="F32" s="13">
        <v>600300</v>
      </c>
      <c r="G32" s="13">
        <v>616114</v>
      </c>
      <c r="H32" s="13">
        <v>812230</v>
      </c>
      <c r="I32" s="13">
        <v>859042</v>
      </c>
      <c r="J32" s="198">
        <v>971268</v>
      </c>
      <c r="K32" s="198">
        <v>1205876</v>
      </c>
      <c r="L32" s="198">
        <v>1292177</v>
      </c>
      <c r="M32" s="198">
        <v>1271874.3556900001</v>
      </c>
      <c r="N32" s="313">
        <v>1176320.6163299999</v>
      </c>
      <c r="O32" s="313">
        <v>975309.30322999996</v>
      </c>
      <c r="P32" s="313">
        <v>814703.9</v>
      </c>
      <c r="Q32" s="313">
        <v>749807.48300000001</v>
      </c>
      <c r="R32" s="371">
        <v>875655.37303000002</v>
      </c>
      <c r="S32" s="388">
        <v>0</v>
      </c>
      <c r="T32" s="388">
        <v>201283.93250999998</v>
      </c>
      <c r="U32" s="388">
        <v>205588.31471999999</v>
      </c>
    </row>
    <row r="33" spans="1:21">
      <c r="A33" s="53"/>
      <c r="B33" s="40"/>
      <c r="C33" s="16"/>
      <c r="D33" s="17"/>
      <c r="E33" s="16"/>
      <c r="F33" s="16"/>
      <c r="G33" s="13"/>
      <c r="H33" s="18"/>
      <c r="I33" s="18"/>
      <c r="J33" s="196"/>
      <c r="K33" s="196"/>
      <c r="L33" s="196"/>
      <c r="M33" s="196"/>
      <c r="N33" s="298"/>
      <c r="O33" s="298"/>
      <c r="P33" s="327"/>
      <c r="Q33" s="367"/>
      <c r="R33" s="298"/>
      <c r="S33" s="298"/>
      <c r="T33" s="298"/>
      <c r="U33" s="298"/>
    </row>
    <row r="34" spans="1:21">
      <c r="A34" s="11">
        <v>29</v>
      </c>
      <c r="B34" s="38" t="s">
        <v>27</v>
      </c>
      <c r="C34" s="13">
        <v>0</v>
      </c>
      <c r="D34" s="13">
        <v>0</v>
      </c>
      <c r="E34" s="13">
        <v>0</v>
      </c>
      <c r="F34" s="13">
        <v>0</v>
      </c>
      <c r="G34" s="13">
        <v>0</v>
      </c>
      <c r="H34" s="13">
        <v>0</v>
      </c>
      <c r="I34" s="13">
        <v>0</v>
      </c>
      <c r="J34" s="198">
        <v>0</v>
      </c>
      <c r="K34" s="198">
        <v>0</v>
      </c>
      <c r="L34" s="198">
        <v>0</v>
      </c>
      <c r="M34" s="198">
        <v>0</v>
      </c>
      <c r="N34" s="313">
        <v>0</v>
      </c>
      <c r="O34" s="313">
        <v>0</v>
      </c>
      <c r="P34" s="313">
        <v>0</v>
      </c>
      <c r="Q34" s="313">
        <v>0</v>
      </c>
      <c r="R34" s="313"/>
      <c r="S34" s="388">
        <v>-2458455.4391300003</v>
      </c>
      <c r="T34" s="388">
        <v>852143.86534999998</v>
      </c>
      <c r="U34" s="388">
        <v>985504.75928</v>
      </c>
    </row>
    <row r="35" spans="1:21">
      <c r="A35" s="41"/>
      <c r="B35" s="42"/>
      <c r="C35" s="56"/>
      <c r="D35" s="57"/>
      <c r="E35" s="56"/>
      <c r="F35" s="56"/>
      <c r="G35" s="27"/>
      <c r="H35" s="27"/>
      <c r="I35" s="27"/>
      <c r="J35" s="167"/>
      <c r="K35" s="167"/>
      <c r="L35" s="167"/>
      <c r="M35" s="167"/>
      <c r="N35" s="167"/>
      <c r="O35" s="167"/>
      <c r="P35" s="330"/>
      <c r="Q35" s="340"/>
      <c r="R35" s="360"/>
      <c r="S35" s="360"/>
      <c r="T35" s="360"/>
      <c r="U35" s="360"/>
    </row>
    <row r="36" spans="1:21">
      <c r="A36" s="170"/>
      <c r="B36" s="60"/>
      <c r="C36" s="171"/>
      <c r="D36" s="172"/>
      <c r="E36" s="171"/>
      <c r="F36" s="173"/>
      <c r="G36" s="174"/>
      <c r="H36" s="174"/>
      <c r="I36" s="174"/>
      <c r="J36" s="5"/>
      <c r="K36" s="5"/>
      <c r="L36" s="225"/>
      <c r="M36" s="225"/>
      <c r="N36" s="225"/>
      <c r="O36" s="225"/>
      <c r="P36" s="225"/>
      <c r="Q36" s="337"/>
      <c r="R36" s="362"/>
      <c r="S36" s="362"/>
      <c r="T36" s="362"/>
      <c r="U36" s="362"/>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44" style="75" customWidth="1"/>
    <col min="3" max="8" width="10.7109375" style="2" bestFit="1" customWidth="1"/>
    <col min="9" max="9" width="12.28515625" style="2" bestFit="1" customWidth="1"/>
    <col min="10" max="17" width="11.42578125" style="2"/>
    <col min="18" max="18" width="10" style="78" customWidth="1"/>
    <col min="19"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94">
        <v>2007</v>
      </c>
      <c r="K1" s="194">
        <v>2008</v>
      </c>
      <c r="L1" s="194">
        <v>2009</v>
      </c>
      <c r="M1" s="194">
        <v>2010</v>
      </c>
      <c r="N1" s="194">
        <v>2011</v>
      </c>
      <c r="O1" s="194">
        <v>2012</v>
      </c>
      <c r="P1" s="194">
        <v>2013</v>
      </c>
      <c r="Q1" s="344">
        <v>2014</v>
      </c>
      <c r="R1" s="344">
        <v>2015</v>
      </c>
      <c r="S1" s="344">
        <v>2016</v>
      </c>
      <c r="T1" s="344">
        <v>2017</v>
      </c>
      <c r="U1" s="344">
        <v>2018</v>
      </c>
    </row>
    <row r="2" spans="1:21">
      <c r="A2" s="7" t="s">
        <v>3</v>
      </c>
      <c r="B2" s="8" t="s">
        <v>62</v>
      </c>
      <c r="C2" s="79"/>
      <c r="D2" s="79"/>
      <c r="E2" s="79"/>
      <c r="F2" s="79"/>
      <c r="G2" s="79"/>
      <c r="H2" s="79"/>
      <c r="I2" s="79"/>
      <c r="J2" s="6"/>
      <c r="K2" s="6"/>
      <c r="L2" s="6"/>
      <c r="M2" s="6"/>
      <c r="N2" s="6"/>
      <c r="O2" s="6"/>
      <c r="P2" s="6"/>
      <c r="Q2" s="346"/>
      <c r="R2" s="346"/>
      <c r="S2" s="346"/>
      <c r="T2" s="346"/>
      <c r="U2" s="346"/>
    </row>
    <row r="3" spans="1:21">
      <c r="A3" s="186"/>
      <c r="B3" s="2"/>
      <c r="C3" s="86" t="s">
        <v>4</v>
      </c>
      <c r="D3" s="86" t="s">
        <v>4</v>
      </c>
      <c r="E3" s="86" t="s">
        <v>4</v>
      </c>
      <c r="F3" s="86" t="s">
        <v>4</v>
      </c>
      <c r="G3" s="86" t="s">
        <v>4</v>
      </c>
      <c r="H3" s="86" t="s">
        <v>4</v>
      </c>
      <c r="I3" s="9" t="s">
        <v>4</v>
      </c>
      <c r="J3" s="9" t="s">
        <v>4</v>
      </c>
      <c r="K3" s="9" t="s">
        <v>4</v>
      </c>
      <c r="L3" s="9" t="s">
        <v>4</v>
      </c>
      <c r="M3" s="9" t="s">
        <v>4</v>
      </c>
      <c r="N3" s="9" t="s">
        <v>4</v>
      </c>
      <c r="O3" s="9" t="s">
        <v>4</v>
      </c>
      <c r="P3" s="9" t="s">
        <v>4</v>
      </c>
      <c r="Q3" s="343" t="s">
        <v>4</v>
      </c>
      <c r="R3" s="343" t="s">
        <v>4</v>
      </c>
      <c r="S3" s="343" t="s">
        <v>4</v>
      </c>
      <c r="T3" s="343" t="s">
        <v>4</v>
      </c>
      <c r="U3" s="343" t="s">
        <v>4</v>
      </c>
    </row>
    <row r="4" spans="1:21">
      <c r="A4" s="11">
        <v>1</v>
      </c>
      <c r="B4" s="12" t="s">
        <v>5</v>
      </c>
      <c r="C4" s="228">
        <f t="shared" ref="C4:H4" si="0">C6+C11+C16+C18</f>
        <v>952236</v>
      </c>
      <c r="D4" s="228">
        <f t="shared" si="0"/>
        <v>980475</v>
      </c>
      <c r="E4" s="228">
        <f t="shared" si="0"/>
        <v>980773</v>
      </c>
      <c r="F4" s="228">
        <f t="shared" si="0"/>
        <v>846115</v>
      </c>
      <c r="G4" s="228">
        <f t="shared" si="0"/>
        <v>841936</v>
      </c>
      <c r="H4" s="228">
        <f t="shared" si="0"/>
        <v>940803</v>
      </c>
      <c r="I4" s="198">
        <f t="shared" ref="I4:O4" si="1">I6+I11+I16+I18</f>
        <v>972704</v>
      </c>
      <c r="J4" s="198">
        <f t="shared" si="1"/>
        <v>1031005</v>
      </c>
      <c r="K4" s="198">
        <f t="shared" si="1"/>
        <v>1044125</v>
      </c>
      <c r="L4" s="198">
        <f t="shared" si="1"/>
        <v>1055632</v>
      </c>
      <c r="M4" s="198">
        <f t="shared" si="1"/>
        <v>1012024</v>
      </c>
      <c r="N4" s="198">
        <f t="shared" si="1"/>
        <v>1527113.66289</v>
      </c>
      <c r="O4" s="198">
        <f t="shared" si="1"/>
        <v>895863.62</v>
      </c>
      <c r="P4" s="198">
        <f t="shared" ref="P4:S4" si="2">P6+P11+P16+P18</f>
        <v>730387</v>
      </c>
      <c r="Q4" s="198">
        <f t="shared" si="2"/>
        <v>695908</v>
      </c>
      <c r="R4" s="348">
        <f t="shared" si="2"/>
        <v>557325.4</v>
      </c>
      <c r="S4" s="348">
        <f t="shared" si="2"/>
        <v>797225.10000000009</v>
      </c>
      <c r="T4" s="348">
        <f t="shared" ref="T4" si="3">T6+T11+T16+T18</f>
        <v>889752</v>
      </c>
      <c r="U4" s="348">
        <f t="shared" ref="U4" si="4">U6+U11+U16+U18</f>
        <v>1070599</v>
      </c>
    </row>
    <row r="5" spans="1:21">
      <c r="A5" s="14"/>
      <c r="B5" s="15"/>
      <c r="C5" s="229"/>
      <c r="D5" s="230"/>
      <c r="E5" s="229"/>
      <c r="F5" s="229"/>
      <c r="G5" s="27"/>
      <c r="H5" s="196"/>
      <c r="I5" s="196"/>
      <c r="J5" s="196"/>
      <c r="K5" s="196"/>
      <c r="L5" s="196"/>
      <c r="M5" s="196"/>
      <c r="N5" s="196"/>
      <c r="O5" s="196"/>
      <c r="P5" s="196"/>
      <c r="Q5" s="196"/>
      <c r="R5" s="298"/>
      <c r="S5" s="298"/>
      <c r="T5" s="298"/>
      <c r="U5" s="298"/>
    </row>
    <row r="6" spans="1:21">
      <c r="A6" s="19">
        <v>10</v>
      </c>
      <c r="B6" s="12" t="s">
        <v>6</v>
      </c>
      <c r="C6" s="198">
        <f t="shared" ref="C6:H6" si="5">C7+C8+C9</f>
        <v>537045</v>
      </c>
      <c r="D6" s="198">
        <f t="shared" si="5"/>
        <v>585473</v>
      </c>
      <c r="E6" s="198">
        <f t="shared" si="5"/>
        <v>605641</v>
      </c>
      <c r="F6" s="198">
        <f t="shared" si="5"/>
        <v>471291</v>
      </c>
      <c r="G6" s="198">
        <f t="shared" si="5"/>
        <v>456735</v>
      </c>
      <c r="H6" s="198">
        <f t="shared" si="5"/>
        <v>578334</v>
      </c>
      <c r="I6" s="198">
        <f t="shared" ref="I6:O6" si="6">I7+I8+I9</f>
        <v>620923</v>
      </c>
      <c r="J6" s="198">
        <f t="shared" si="6"/>
        <v>738137</v>
      </c>
      <c r="K6" s="198">
        <f t="shared" si="6"/>
        <v>802239</v>
      </c>
      <c r="L6" s="198">
        <f t="shared" si="6"/>
        <v>812868</v>
      </c>
      <c r="M6" s="198">
        <f t="shared" si="6"/>
        <v>752496</v>
      </c>
      <c r="N6" s="198">
        <f t="shared" si="6"/>
        <v>1274363.66289</v>
      </c>
      <c r="O6" s="198">
        <f t="shared" si="6"/>
        <v>659149</v>
      </c>
      <c r="P6" s="198">
        <f t="shared" ref="P6:S6" si="7">P7+P8+P9</f>
        <v>517490</v>
      </c>
      <c r="Q6" s="198">
        <f t="shared" si="7"/>
        <v>483590</v>
      </c>
      <c r="R6" s="348">
        <f t="shared" si="7"/>
        <v>359761.60000000003</v>
      </c>
      <c r="S6" s="348">
        <f t="shared" si="7"/>
        <v>546987.20000000007</v>
      </c>
      <c r="T6" s="348">
        <f t="shared" ref="T6" si="8">T7+T8+T9</f>
        <v>619504</v>
      </c>
      <c r="U6" s="348">
        <f t="shared" ref="U6" si="9">U7+U8+U9</f>
        <v>796458</v>
      </c>
    </row>
    <row r="7" spans="1:21">
      <c r="A7" s="20" t="s">
        <v>7</v>
      </c>
      <c r="B7" s="21" t="s">
        <v>8</v>
      </c>
      <c r="C7" s="231">
        <v>517702</v>
      </c>
      <c r="D7" s="231">
        <v>566141</v>
      </c>
      <c r="E7" s="231">
        <v>585736</v>
      </c>
      <c r="F7" s="231">
        <v>454317</v>
      </c>
      <c r="G7" s="231">
        <v>440299</v>
      </c>
      <c r="H7" s="231">
        <v>562382</v>
      </c>
      <c r="I7" s="231">
        <v>603041</v>
      </c>
      <c r="J7" s="196">
        <v>720126</v>
      </c>
      <c r="K7" s="196">
        <v>785048</v>
      </c>
      <c r="L7" s="196">
        <v>793857</v>
      </c>
      <c r="M7" s="196">
        <v>730738</v>
      </c>
      <c r="N7" s="298">
        <v>1252114.66289</v>
      </c>
      <c r="O7" s="298">
        <v>645583</v>
      </c>
      <c r="P7" s="322">
        <v>502959</v>
      </c>
      <c r="Q7" s="322">
        <f>149820+302276</f>
        <v>452096</v>
      </c>
      <c r="R7" s="380">
        <v>329150.2</v>
      </c>
      <c r="S7" s="298">
        <v>432257.3</v>
      </c>
      <c r="T7" s="298">
        <v>477742</v>
      </c>
      <c r="U7" s="298">
        <v>730775</v>
      </c>
    </row>
    <row r="8" spans="1:21">
      <c r="A8" s="25">
        <v>102</v>
      </c>
      <c r="B8" s="26" t="s">
        <v>9</v>
      </c>
      <c r="C8" s="231">
        <v>19299</v>
      </c>
      <c r="D8" s="231">
        <v>18798</v>
      </c>
      <c r="E8" s="231">
        <v>19892</v>
      </c>
      <c r="F8" s="231">
        <v>16618</v>
      </c>
      <c r="G8" s="231">
        <v>15905</v>
      </c>
      <c r="H8" s="231">
        <v>15717</v>
      </c>
      <c r="I8" s="231">
        <v>17817</v>
      </c>
      <c r="J8" s="199">
        <v>18009</v>
      </c>
      <c r="K8" s="199">
        <v>17191</v>
      </c>
      <c r="L8" s="199">
        <v>18986</v>
      </c>
      <c r="M8" s="199">
        <v>21757</v>
      </c>
      <c r="N8" s="300">
        <v>22230</v>
      </c>
      <c r="O8" s="300">
        <v>13566</v>
      </c>
      <c r="P8" s="323">
        <v>14530</v>
      </c>
      <c r="Q8" s="323">
        <v>31489</v>
      </c>
      <c r="R8" s="382">
        <v>30591.4</v>
      </c>
      <c r="S8" s="300">
        <v>72073.100000000006</v>
      </c>
      <c r="T8" s="300">
        <v>71683</v>
      </c>
      <c r="U8" s="300">
        <v>53144</v>
      </c>
    </row>
    <row r="9" spans="1:21">
      <c r="A9" s="25">
        <v>103</v>
      </c>
      <c r="B9" s="26" t="s">
        <v>10</v>
      </c>
      <c r="C9" s="231">
        <v>44</v>
      </c>
      <c r="D9" s="231">
        <v>534</v>
      </c>
      <c r="E9" s="231">
        <v>13</v>
      </c>
      <c r="F9" s="231">
        <v>356</v>
      </c>
      <c r="G9" s="231">
        <v>531</v>
      </c>
      <c r="H9" s="231">
        <v>235</v>
      </c>
      <c r="I9" s="231">
        <v>65</v>
      </c>
      <c r="J9" s="196">
        <v>2</v>
      </c>
      <c r="K9" s="196">
        <v>0</v>
      </c>
      <c r="L9" s="196">
        <v>25</v>
      </c>
      <c r="M9" s="196">
        <v>1</v>
      </c>
      <c r="N9" s="298">
        <v>19</v>
      </c>
      <c r="O9" s="298">
        <v>0</v>
      </c>
      <c r="P9" s="322">
        <v>1</v>
      </c>
      <c r="Q9" s="322">
        <v>5</v>
      </c>
      <c r="R9" s="380">
        <v>20</v>
      </c>
      <c r="S9" s="298">
        <v>42656.800000000003</v>
      </c>
      <c r="T9" s="298">
        <v>70079</v>
      </c>
      <c r="U9" s="298">
        <v>12539</v>
      </c>
    </row>
    <row r="10" spans="1:21">
      <c r="A10" s="28"/>
      <c r="B10" s="29"/>
      <c r="C10" s="232"/>
      <c r="D10" s="233"/>
      <c r="E10" s="232"/>
      <c r="F10" s="232"/>
      <c r="G10" s="27"/>
      <c r="H10" s="196"/>
      <c r="I10" s="196"/>
      <c r="J10" s="196"/>
      <c r="K10" s="196"/>
      <c r="L10" s="196"/>
      <c r="M10" s="196"/>
      <c r="N10" s="196"/>
      <c r="O10" s="196"/>
      <c r="P10" s="196"/>
      <c r="Q10" s="298"/>
      <c r="R10" s="380"/>
      <c r="S10" s="298"/>
      <c r="T10" s="298"/>
      <c r="U10" s="298"/>
    </row>
    <row r="11" spans="1:21">
      <c r="A11" s="19">
        <v>11</v>
      </c>
      <c r="B11" s="12" t="s">
        <v>11</v>
      </c>
      <c r="C11" s="198">
        <f t="shared" ref="C11:H11" si="10">C12+C13+C14</f>
        <v>415191</v>
      </c>
      <c r="D11" s="198">
        <f t="shared" si="10"/>
        <v>395002</v>
      </c>
      <c r="E11" s="198">
        <f t="shared" si="10"/>
        <v>375132</v>
      </c>
      <c r="F11" s="198">
        <f t="shared" si="10"/>
        <v>374824</v>
      </c>
      <c r="G11" s="198">
        <f t="shared" si="10"/>
        <v>383945</v>
      </c>
      <c r="H11" s="198">
        <f t="shared" si="10"/>
        <v>362469</v>
      </c>
      <c r="I11" s="198">
        <f t="shared" ref="I11:O11" si="11">I12+I13+I14</f>
        <v>351781</v>
      </c>
      <c r="J11" s="198">
        <f t="shared" si="11"/>
        <v>292868</v>
      </c>
      <c r="K11" s="198">
        <f t="shared" si="11"/>
        <v>241886</v>
      </c>
      <c r="L11" s="198">
        <f t="shared" si="11"/>
        <v>242764</v>
      </c>
      <c r="M11" s="198">
        <f t="shared" si="11"/>
        <v>259528</v>
      </c>
      <c r="N11" s="198">
        <f t="shared" si="11"/>
        <v>252750</v>
      </c>
      <c r="O11" s="198">
        <f t="shared" si="11"/>
        <v>236714.62</v>
      </c>
      <c r="P11" s="198">
        <f t="shared" ref="P11:S11" si="12">P12+P13+P14</f>
        <v>212897</v>
      </c>
      <c r="Q11" s="198">
        <f t="shared" si="12"/>
        <v>212318</v>
      </c>
      <c r="R11" s="348">
        <f t="shared" si="12"/>
        <v>197563.8</v>
      </c>
      <c r="S11" s="348">
        <f t="shared" si="12"/>
        <v>250237.90000000002</v>
      </c>
      <c r="T11" s="348">
        <f t="shared" ref="T11" si="13">T12+T13+T14</f>
        <v>247965</v>
      </c>
      <c r="U11" s="348">
        <f t="shared" ref="U11" si="14">U12+U13+U14</f>
        <v>254251</v>
      </c>
    </row>
    <row r="12" spans="1:21">
      <c r="A12" s="32">
        <v>114</v>
      </c>
      <c r="B12" s="21" t="s">
        <v>12</v>
      </c>
      <c r="C12" s="231">
        <v>102813</v>
      </c>
      <c r="D12" s="231">
        <v>104663</v>
      </c>
      <c r="E12" s="231">
        <v>99571</v>
      </c>
      <c r="F12" s="231">
        <v>100171</v>
      </c>
      <c r="G12" s="231">
        <v>103620</v>
      </c>
      <c r="H12" s="231">
        <v>105232</v>
      </c>
      <c r="I12" s="231">
        <v>103595</v>
      </c>
      <c r="J12" s="196">
        <v>82075</v>
      </c>
      <c r="K12" s="196">
        <v>54450</v>
      </c>
      <c r="L12" s="196">
        <v>50532</v>
      </c>
      <c r="M12" s="196">
        <v>64813</v>
      </c>
      <c r="N12" s="298">
        <v>46058</v>
      </c>
      <c r="O12" s="298">
        <v>33261.379999999997</v>
      </c>
      <c r="P12" s="322">
        <v>9093</v>
      </c>
      <c r="Q12" s="322">
        <v>3319</v>
      </c>
      <c r="R12" s="380">
        <v>-13495.7</v>
      </c>
      <c r="S12" s="298">
        <v>98097.2</v>
      </c>
      <c r="T12" s="298">
        <v>98258</v>
      </c>
      <c r="U12" s="298">
        <v>107716</v>
      </c>
    </row>
    <row r="13" spans="1:21">
      <c r="A13" s="25">
        <v>115</v>
      </c>
      <c r="B13" s="26" t="s">
        <v>13</v>
      </c>
      <c r="C13" s="231">
        <v>251780</v>
      </c>
      <c r="D13" s="231">
        <v>231372</v>
      </c>
      <c r="E13" s="231">
        <v>220307</v>
      </c>
      <c r="F13" s="231">
        <v>222762</v>
      </c>
      <c r="G13" s="231">
        <v>222217</v>
      </c>
      <c r="H13" s="231">
        <v>195672</v>
      </c>
      <c r="I13" s="231">
        <v>188100</v>
      </c>
      <c r="J13" s="199">
        <v>149771</v>
      </c>
      <c r="K13" s="199">
        <v>121889</v>
      </c>
      <c r="L13" s="199">
        <v>124407</v>
      </c>
      <c r="M13" s="199">
        <v>126730</v>
      </c>
      <c r="N13" s="300">
        <v>142640</v>
      </c>
      <c r="O13" s="300">
        <v>144004.24</v>
      </c>
      <c r="P13" s="323">
        <v>144752</v>
      </c>
      <c r="Q13" s="323">
        <v>148772</v>
      </c>
      <c r="R13" s="382">
        <v>149795.79999999999</v>
      </c>
      <c r="S13" s="300">
        <v>152140.70000000001</v>
      </c>
      <c r="T13" s="300">
        <v>149707</v>
      </c>
      <c r="U13" s="300">
        <v>146535</v>
      </c>
    </row>
    <row r="14" spans="1:21">
      <c r="A14" s="33" t="s">
        <v>14</v>
      </c>
      <c r="B14" s="34" t="s">
        <v>15</v>
      </c>
      <c r="C14" s="231">
        <v>60598</v>
      </c>
      <c r="D14" s="231">
        <v>58967</v>
      </c>
      <c r="E14" s="231">
        <v>55254</v>
      </c>
      <c r="F14" s="231">
        <v>51891</v>
      </c>
      <c r="G14" s="231">
        <v>58108</v>
      </c>
      <c r="H14" s="231">
        <v>61565</v>
      </c>
      <c r="I14" s="231">
        <v>60086</v>
      </c>
      <c r="J14" s="196">
        <v>61022</v>
      </c>
      <c r="K14" s="196">
        <v>65547</v>
      </c>
      <c r="L14" s="196">
        <v>67825</v>
      </c>
      <c r="M14" s="196">
        <v>67985</v>
      </c>
      <c r="N14" s="298">
        <v>64052</v>
      </c>
      <c r="O14" s="298">
        <v>59449</v>
      </c>
      <c r="P14" s="322">
        <v>59052</v>
      </c>
      <c r="Q14" s="322">
        <v>60227</v>
      </c>
      <c r="R14" s="380">
        <v>61263.7</v>
      </c>
      <c r="S14" s="298">
        <v>0</v>
      </c>
      <c r="T14" s="298">
        <v>0</v>
      </c>
      <c r="U14" s="298">
        <v>0</v>
      </c>
    </row>
    <row r="15" spans="1:21">
      <c r="A15" s="35"/>
      <c r="B15" s="36"/>
      <c r="C15" s="232"/>
      <c r="D15" s="233"/>
      <c r="E15" s="232"/>
      <c r="F15" s="232"/>
      <c r="G15" s="27"/>
      <c r="H15" s="200"/>
      <c r="I15" s="234"/>
      <c r="J15" s="200"/>
      <c r="K15" s="200"/>
      <c r="L15" s="200"/>
      <c r="M15" s="200"/>
      <c r="N15" s="305"/>
      <c r="O15" s="305"/>
      <c r="P15" s="305"/>
      <c r="Q15" s="305"/>
      <c r="R15" s="381"/>
      <c r="S15" s="305"/>
      <c r="T15" s="305"/>
      <c r="U15" s="305"/>
    </row>
    <row r="16" spans="1:21">
      <c r="A16" s="11">
        <v>12</v>
      </c>
      <c r="B16" s="38" t="s">
        <v>16</v>
      </c>
      <c r="C16" s="198">
        <v>0</v>
      </c>
      <c r="D16" s="198">
        <v>0</v>
      </c>
      <c r="E16" s="198">
        <v>0</v>
      </c>
      <c r="F16" s="198">
        <v>0</v>
      </c>
      <c r="G16" s="198">
        <v>1256</v>
      </c>
      <c r="H16" s="198">
        <v>0</v>
      </c>
      <c r="I16" s="198">
        <v>0</v>
      </c>
      <c r="J16" s="198">
        <v>0</v>
      </c>
      <c r="K16" s="198">
        <v>0</v>
      </c>
      <c r="L16" s="198">
        <v>0</v>
      </c>
      <c r="M16" s="198">
        <v>0</v>
      </c>
      <c r="N16" s="313">
        <v>0</v>
      </c>
      <c r="O16" s="313">
        <v>0</v>
      </c>
      <c r="P16" s="313">
        <v>0</v>
      </c>
      <c r="Q16" s="313">
        <v>0</v>
      </c>
      <c r="R16" s="379">
        <v>0</v>
      </c>
      <c r="S16" s="388">
        <v>0</v>
      </c>
      <c r="T16" s="388">
        <v>22283</v>
      </c>
      <c r="U16" s="388">
        <v>19890</v>
      </c>
    </row>
    <row r="17" spans="1:21">
      <c r="A17" s="39"/>
      <c r="B17" s="40"/>
      <c r="C17" s="229"/>
      <c r="D17" s="230"/>
      <c r="E17" s="229"/>
      <c r="F17" s="229"/>
      <c r="G17" s="235"/>
      <c r="H17" s="196"/>
      <c r="I17" s="196"/>
      <c r="J17" s="196"/>
      <c r="K17" s="196"/>
      <c r="L17" s="196"/>
      <c r="M17" s="196"/>
      <c r="N17" s="298"/>
      <c r="O17" s="298"/>
      <c r="P17" s="322"/>
      <c r="Q17" s="322"/>
      <c r="R17" s="380"/>
      <c r="S17" s="298"/>
      <c r="T17" s="298"/>
      <c r="U17" s="298"/>
    </row>
    <row r="18" spans="1:21">
      <c r="A18" s="11">
        <v>13</v>
      </c>
      <c r="B18" s="38" t="s">
        <v>17</v>
      </c>
      <c r="C18" s="198">
        <v>0</v>
      </c>
      <c r="D18" s="198">
        <v>0</v>
      </c>
      <c r="E18" s="198">
        <v>0</v>
      </c>
      <c r="F18" s="198">
        <v>0</v>
      </c>
      <c r="G18" s="198">
        <v>0</v>
      </c>
      <c r="H18" s="198">
        <v>0</v>
      </c>
      <c r="I18" s="198">
        <v>0</v>
      </c>
      <c r="J18" s="198">
        <v>0</v>
      </c>
      <c r="K18" s="198">
        <v>0</v>
      </c>
      <c r="L18" s="198">
        <v>0</v>
      </c>
      <c r="M18" s="198">
        <v>0</v>
      </c>
      <c r="N18" s="313">
        <v>0</v>
      </c>
      <c r="O18" s="313">
        <v>0</v>
      </c>
      <c r="P18" s="313">
        <v>0</v>
      </c>
      <c r="Q18" s="313">
        <v>0</v>
      </c>
      <c r="R18" s="379">
        <v>0</v>
      </c>
      <c r="S18" s="388"/>
      <c r="T18" s="388"/>
      <c r="U18" s="388"/>
    </row>
    <row r="19" spans="1:21">
      <c r="A19" s="41"/>
      <c r="B19" s="42"/>
      <c r="C19" s="236"/>
      <c r="D19" s="237"/>
      <c r="E19" s="236"/>
      <c r="F19" s="236"/>
      <c r="G19" s="24"/>
      <c r="H19" s="196"/>
      <c r="I19" s="196"/>
      <c r="J19" s="196"/>
      <c r="K19" s="196"/>
      <c r="L19" s="196"/>
      <c r="M19" s="196"/>
      <c r="N19" s="298"/>
      <c r="O19" s="298"/>
      <c r="P19" s="298"/>
      <c r="Q19" s="298"/>
      <c r="R19" s="380"/>
      <c r="S19" s="298"/>
      <c r="T19" s="298"/>
      <c r="U19" s="298"/>
    </row>
    <row r="20" spans="1:21">
      <c r="A20" s="43"/>
      <c r="B20" s="36"/>
      <c r="C20" s="232"/>
      <c r="D20" s="233"/>
      <c r="E20" s="232"/>
      <c r="F20" s="232"/>
      <c r="G20" s="238"/>
      <c r="H20" s="200"/>
      <c r="I20" s="234"/>
      <c r="J20" s="200"/>
      <c r="K20" s="200"/>
      <c r="L20" s="200"/>
      <c r="M20" s="200"/>
      <c r="N20" s="305"/>
      <c r="O20" s="305"/>
      <c r="P20" s="305"/>
      <c r="Q20" s="305"/>
      <c r="R20" s="381"/>
      <c r="S20" s="305"/>
      <c r="T20" s="305"/>
      <c r="U20" s="305"/>
    </row>
    <row r="21" spans="1:21">
      <c r="A21" s="11">
        <v>2</v>
      </c>
      <c r="B21" s="38" t="s">
        <v>18</v>
      </c>
      <c r="C21" s="198">
        <f t="shared" ref="C21:H21" si="15">C23+C28+C30+C32+C34</f>
        <v>952236</v>
      </c>
      <c r="D21" s="198">
        <f t="shared" si="15"/>
        <v>980475</v>
      </c>
      <c r="E21" s="198">
        <f t="shared" si="15"/>
        <v>980773</v>
      </c>
      <c r="F21" s="198">
        <f t="shared" si="15"/>
        <v>846115</v>
      </c>
      <c r="G21" s="198">
        <f t="shared" si="15"/>
        <v>841936</v>
      </c>
      <c r="H21" s="198">
        <f t="shared" si="15"/>
        <v>940803</v>
      </c>
      <c r="I21" s="198">
        <f t="shared" ref="I21:O21" si="16">I23+I28+I30+I32+I34</f>
        <v>972704</v>
      </c>
      <c r="J21" s="198">
        <f t="shared" si="16"/>
        <v>1031005</v>
      </c>
      <c r="K21" s="198">
        <f t="shared" si="16"/>
        <v>1044125</v>
      </c>
      <c r="L21" s="198">
        <f t="shared" si="16"/>
        <v>1055632</v>
      </c>
      <c r="M21" s="198">
        <f t="shared" si="16"/>
        <v>1012024</v>
      </c>
      <c r="N21" s="198">
        <f t="shared" si="16"/>
        <v>964724</v>
      </c>
      <c r="O21" s="198">
        <f t="shared" si="16"/>
        <v>895864</v>
      </c>
      <c r="P21" s="198">
        <f t="shared" ref="P21:Q21" si="17">P23+P28+P30+P32+P34</f>
        <v>730387</v>
      </c>
      <c r="Q21" s="198">
        <f t="shared" si="17"/>
        <v>695908</v>
      </c>
      <c r="R21" s="348">
        <f>R23+R28+R30+R32+R34</f>
        <v>557325.4</v>
      </c>
      <c r="S21" s="348">
        <f>S23+S28+S30+S32+S34</f>
        <v>797224.9</v>
      </c>
      <c r="T21" s="348">
        <f>T23+T28+T30+T32+T34</f>
        <v>889752</v>
      </c>
      <c r="U21" s="348">
        <f>U23+U28+U30+U32+U34</f>
        <v>1070599</v>
      </c>
    </row>
    <row r="22" spans="1:21">
      <c r="A22" s="44"/>
      <c r="B22" s="45"/>
      <c r="C22" s="229"/>
      <c r="D22" s="230"/>
      <c r="E22" s="229"/>
      <c r="F22" s="229"/>
      <c r="G22" s="24"/>
      <c r="H22" s="196"/>
      <c r="I22" s="196"/>
      <c r="J22" s="196"/>
      <c r="K22" s="196"/>
      <c r="L22" s="196"/>
      <c r="M22" s="196"/>
      <c r="N22" s="196"/>
      <c r="O22" s="196"/>
      <c r="P22" s="324"/>
      <c r="Q22" s="324"/>
      <c r="R22" s="298"/>
      <c r="S22" s="298"/>
      <c r="T22" s="298"/>
      <c r="U22" s="298"/>
    </row>
    <row r="23" spans="1:21">
      <c r="A23" s="46">
        <v>20</v>
      </c>
      <c r="B23" s="47" t="s">
        <v>19</v>
      </c>
      <c r="C23" s="198">
        <f t="shared" ref="C23:H23" si="18">C24+C25+C26</f>
        <v>417785</v>
      </c>
      <c r="D23" s="198">
        <f t="shared" si="18"/>
        <v>406515</v>
      </c>
      <c r="E23" s="198">
        <f t="shared" si="18"/>
        <v>432599</v>
      </c>
      <c r="F23" s="198">
        <f t="shared" si="18"/>
        <v>369530</v>
      </c>
      <c r="G23" s="198">
        <f t="shared" si="18"/>
        <v>439258</v>
      </c>
      <c r="H23" s="198">
        <f t="shared" si="18"/>
        <v>400352</v>
      </c>
      <c r="I23" s="198">
        <f t="shared" ref="I23:O23" si="19">I24+I25+I26</f>
        <v>423356</v>
      </c>
      <c r="J23" s="198">
        <f t="shared" si="19"/>
        <v>410797</v>
      </c>
      <c r="K23" s="198">
        <f t="shared" si="19"/>
        <v>385700</v>
      </c>
      <c r="L23" s="198">
        <f t="shared" si="19"/>
        <v>398390</v>
      </c>
      <c r="M23" s="198">
        <f t="shared" si="19"/>
        <v>398552</v>
      </c>
      <c r="N23" s="198">
        <f t="shared" si="19"/>
        <v>402577</v>
      </c>
      <c r="O23" s="198">
        <f t="shared" si="19"/>
        <v>422632</v>
      </c>
      <c r="P23" s="198">
        <f t="shared" ref="P23:Q23" si="20">P24+P25+P26</f>
        <v>385776</v>
      </c>
      <c r="Q23" s="198">
        <f t="shared" si="20"/>
        <v>574813</v>
      </c>
      <c r="R23" s="348">
        <f>R24+R25+R26</f>
        <v>449536.80000000005</v>
      </c>
      <c r="S23" s="348">
        <f>S24+S25+S26</f>
        <v>501602.69999999995</v>
      </c>
      <c r="T23" s="348">
        <f>T24+T25+T26</f>
        <v>456716</v>
      </c>
      <c r="U23" s="348">
        <f>U24+U25+U26</f>
        <v>505923</v>
      </c>
    </row>
    <row r="24" spans="1:21">
      <c r="A24" s="48" t="s">
        <v>20</v>
      </c>
      <c r="B24" s="49" t="s">
        <v>21</v>
      </c>
      <c r="C24" s="231">
        <v>176766</v>
      </c>
      <c r="D24" s="231">
        <v>186729</v>
      </c>
      <c r="E24" s="231">
        <v>223416</v>
      </c>
      <c r="F24" s="231">
        <v>187520</v>
      </c>
      <c r="G24" s="231">
        <v>216255</v>
      </c>
      <c r="H24" s="231">
        <v>205267</v>
      </c>
      <c r="I24" s="231">
        <v>237057</v>
      </c>
      <c r="J24" s="196">
        <v>262308</v>
      </c>
      <c r="K24" s="196">
        <v>264818</v>
      </c>
      <c r="L24" s="196">
        <v>273061</v>
      </c>
      <c r="M24" s="196">
        <v>271763</v>
      </c>
      <c r="N24" s="298">
        <v>269231</v>
      </c>
      <c r="O24" s="298">
        <v>288686</v>
      </c>
      <c r="P24" s="322">
        <v>258971</v>
      </c>
      <c r="Q24" s="322">
        <f>309585+150000</f>
        <v>459585</v>
      </c>
      <c r="R24" s="380">
        <v>333460</v>
      </c>
      <c r="S24" s="298">
        <v>233521.7</v>
      </c>
      <c r="T24" s="298">
        <v>172611</v>
      </c>
      <c r="U24" s="298">
        <v>177392</v>
      </c>
    </row>
    <row r="25" spans="1:21">
      <c r="A25" s="50">
        <v>202</v>
      </c>
      <c r="B25" s="51" t="s">
        <v>22</v>
      </c>
      <c r="C25" s="231">
        <v>240502</v>
      </c>
      <c r="D25" s="231">
        <v>219364</v>
      </c>
      <c r="E25" s="231">
        <v>208333</v>
      </c>
      <c r="F25" s="231">
        <v>181606</v>
      </c>
      <c r="G25" s="231">
        <v>222505</v>
      </c>
      <c r="H25" s="231">
        <v>194649</v>
      </c>
      <c r="I25" s="231">
        <v>186052</v>
      </c>
      <c r="J25" s="199">
        <v>148245</v>
      </c>
      <c r="K25" s="199">
        <v>120836</v>
      </c>
      <c r="L25" s="199">
        <v>125301</v>
      </c>
      <c r="M25" s="199">
        <v>126759</v>
      </c>
      <c r="N25" s="300">
        <v>133315</v>
      </c>
      <c r="O25" s="300">
        <v>133923</v>
      </c>
      <c r="P25" s="323">
        <v>126782</v>
      </c>
      <c r="Q25" s="323">
        <v>115186</v>
      </c>
      <c r="R25" s="382">
        <v>116036.9</v>
      </c>
      <c r="S25" s="300">
        <v>242736.9</v>
      </c>
      <c r="T25" s="300">
        <v>242837</v>
      </c>
      <c r="U25" s="300">
        <v>242187</v>
      </c>
    </row>
    <row r="26" spans="1:21">
      <c r="A26" s="50">
        <v>205</v>
      </c>
      <c r="B26" s="52" t="s">
        <v>23</v>
      </c>
      <c r="C26" s="231">
        <v>517</v>
      </c>
      <c r="D26" s="231">
        <v>422</v>
      </c>
      <c r="E26" s="231">
        <v>850</v>
      </c>
      <c r="F26" s="231">
        <v>404</v>
      </c>
      <c r="G26" s="231">
        <v>498</v>
      </c>
      <c r="H26" s="231">
        <v>436</v>
      </c>
      <c r="I26" s="231">
        <v>247</v>
      </c>
      <c r="J26" s="196">
        <v>244</v>
      </c>
      <c r="K26" s="196">
        <v>46</v>
      </c>
      <c r="L26" s="196">
        <v>28</v>
      </c>
      <c r="M26" s="196">
        <v>30</v>
      </c>
      <c r="N26" s="298">
        <v>31</v>
      </c>
      <c r="O26" s="298">
        <v>23</v>
      </c>
      <c r="P26" s="322">
        <v>23</v>
      </c>
      <c r="Q26" s="322">
        <v>42</v>
      </c>
      <c r="R26" s="380">
        <v>39.9</v>
      </c>
      <c r="S26" s="298">
        <v>25344.1</v>
      </c>
      <c r="T26" s="298">
        <v>41268</v>
      </c>
      <c r="U26" s="298">
        <v>86344</v>
      </c>
    </row>
    <row r="27" spans="1:21">
      <c r="A27" s="35"/>
      <c r="B27" s="36"/>
      <c r="C27" s="232"/>
      <c r="D27" s="233"/>
      <c r="E27" s="232"/>
      <c r="F27" s="232"/>
      <c r="G27" s="238"/>
      <c r="H27" s="200"/>
      <c r="I27" s="234"/>
      <c r="J27" s="200"/>
      <c r="K27" s="200"/>
      <c r="L27" s="200"/>
      <c r="M27" s="200"/>
      <c r="N27" s="305"/>
      <c r="O27" s="305"/>
      <c r="P27" s="325"/>
      <c r="Q27" s="325"/>
      <c r="R27" s="381"/>
      <c r="S27" s="305"/>
      <c r="T27" s="305"/>
      <c r="U27" s="305"/>
    </row>
    <row r="28" spans="1:21">
      <c r="A28" s="11">
        <v>23</v>
      </c>
      <c r="B28" s="38" t="s">
        <v>24</v>
      </c>
      <c r="C28" s="198">
        <v>5880</v>
      </c>
      <c r="D28" s="198">
        <v>7082</v>
      </c>
      <c r="E28" s="198">
        <v>8771</v>
      </c>
      <c r="F28" s="198">
        <v>9389</v>
      </c>
      <c r="G28" s="198">
        <v>10830</v>
      </c>
      <c r="H28" s="198">
        <v>11441</v>
      </c>
      <c r="I28" s="198">
        <v>13496</v>
      </c>
      <c r="J28" s="198">
        <v>14788</v>
      </c>
      <c r="K28" s="198">
        <v>17066</v>
      </c>
      <c r="L28" s="198">
        <v>17887</v>
      </c>
      <c r="M28" s="198">
        <v>19791</v>
      </c>
      <c r="N28" s="313">
        <v>20196</v>
      </c>
      <c r="O28" s="313">
        <v>21283</v>
      </c>
      <c r="P28" s="313">
        <v>22343</v>
      </c>
      <c r="Q28" s="313">
        <v>21719</v>
      </c>
      <c r="R28" s="379">
        <v>22161</v>
      </c>
      <c r="S28" s="388"/>
      <c r="T28" s="388"/>
      <c r="U28" s="388"/>
    </row>
    <row r="29" spans="1:21">
      <c r="A29" s="53"/>
      <c r="B29" s="40"/>
      <c r="C29" s="229"/>
      <c r="D29" s="230"/>
      <c r="E29" s="229"/>
      <c r="F29" s="229"/>
      <c r="G29" s="213"/>
      <c r="H29" s="196"/>
      <c r="I29" s="196"/>
      <c r="J29" s="196"/>
      <c r="K29" s="196"/>
      <c r="L29" s="196"/>
      <c r="M29" s="196"/>
      <c r="N29" s="298"/>
      <c r="O29" s="298"/>
      <c r="P29" s="322"/>
      <c r="Q29" s="322"/>
      <c r="R29" s="380"/>
      <c r="S29" s="298"/>
      <c r="T29" s="298"/>
      <c r="U29" s="298"/>
    </row>
    <row r="30" spans="1:21">
      <c r="A30" s="11">
        <v>24</v>
      </c>
      <c r="B30" s="38" t="s">
        <v>25</v>
      </c>
      <c r="C30" s="198">
        <v>0</v>
      </c>
      <c r="D30" s="198">
        <v>0</v>
      </c>
      <c r="E30" s="198">
        <v>0</v>
      </c>
      <c r="F30" s="198">
        <v>0</v>
      </c>
      <c r="G30" s="198">
        <v>0</v>
      </c>
      <c r="H30" s="198">
        <v>0</v>
      </c>
      <c r="I30" s="198">
        <v>0</v>
      </c>
      <c r="J30" s="198">
        <v>0</v>
      </c>
      <c r="K30" s="198">
        <v>0</v>
      </c>
      <c r="L30" s="198">
        <v>0</v>
      </c>
      <c r="M30" s="198">
        <v>0</v>
      </c>
      <c r="N30" s="313">
        <v>0</v>
      </c>
      <c r="O30" s="313">
        <v>0</v>
      </c>
      <c r="P30" s="313">
        <v>0</v>
      </c>
      <c r="Q30" s="313">
        <v>0</v>
      </c>
      <c r="R30" s="379">
        <v>295</v>
      </c>
      <c r="S30" s="388">
        <v>71169.399999999994</v>
      </c>
      <c r="T30" s="388">
        <v>71523</v>
      </c>
      <c r="U30" s="388">
        <v>72607</v>
      </c>
    </row>
    <row r="31" spans="1:21">
      <c r="A31" s="44"/>
      <c r="B31" s="45"/>
      <c r="C31" s="231"/>
      <c r="D31" s="230"/>
      <c r="E31" s="229"/>
      <c r="F31" s="229"/>
      <c r="G31" s="198"/>
      <c r="H31" s="196"/>
      <c r="I31" s="196"/>
      <c r="J31" s="196"/>
      <c r="K31" s="196"/>
      <c r="L31" s="196"/>
      <c r="M31" s="196"/>
      <c r="N31" s="298"/>
      <c r="O31" s="298"/>
      <c r="P31" s="322"/>
      <c r="Q31" s="322"/>
      <c r="R31" s="380"/>
      <c r="S31" s="298"/>
      <c r="T31" s="298"/>
      <c r="U31" s="298"/>
    </row>
    <row r="32" spans="1:21">
      <c r="A32" s="54">
        <v>28</v>
      </c>
      <c r="B32" s="47" t="s">
        <v>26</v>
      </c>
      <c r="C32" s="198">
        <v>3748</v>
      </c>
      <c r="D32" s="198">
        <v>2918</v>
      </c>
      <c r="E32" s="198">
        <v>2774</v>
      </c>
      <c r="F32" s="198">
        <v>8599</v>
      </c>
      <c r="G32" s="198">
        <v>0</v>
      </c>
      <c r="H32" s="198">
        <v>4489</v>
      </c>
      <c r="I32" s="198">
        <v>5406</v>
      </c>
      <c r="J32" s="198">
        <v>13479</v>
      </c>
      <c r="K32" s="198">
        <v>21418</v>
      </c>
      <c r="L32" s="198">
        <v>33942</v>
      </c>
      <c r="M32" s="198">
        <v>31303</v>
      </c>
      <c r="N32" s="313">
        <v>27851</v>
      </c>
      <c r="O32" s="313">
        <v>32669</v>
      </c>
      <c r="P32" s="313">
        <v>43650</v>
      </c>
      <c r="Q32" s="313">
        <v>31861</v>
      </c>
      <c r="R32" s="379">
        <v>7419.4</v>
      </c>
      <c r="S32" s="388">
        <v>1209.8</v>
      </c>
      <c r="T32" s="388">
        <v>26636</v>
      </c>
      <c r="U32" s="388">
        <v>27566</v>
      </c>
    </row>
    <row r="33" spans="1:21">
      <c r="A33" s="53"/>
      <c r="B33" s="40"/>
      <c r="C33" s="229"/>
      <c r="D33" s="230"/>
      <c r="E33" s="229"/>
      <c r="F33" s="229"/>
      <c r="G33" s="198"/>
      <c r="H33" s="196"/>
      <c r="I33" s="196"/>
      <c r="J33" s="196"/>
      <c r="K33" s="196"/>
      <c r="L33" s="196"/>
      <c r="M33" s="196"/>
      <c r="N33" s="298"/>
      <c r="O33" s="298"/>
      <c r="P33" s="322"/>
      <c r="Q33" s="322"/>
      <c r="R33" s="380"/>
      <c r="S33" s="298"/>
      <c r="T33" s="298"/>
      <c r="U33" s="298"/>
    </row>
    <row r="34" spans="1:21">
      <c r="A34" s="11">
        <v>29</v>
      </c>
      <c r="B34" s="38" t="s">
        <v>27</v>
      </c>
      <c r="C34" s="198">
        <v>524823</v>
      </c>
      <c r="D34" s="198">
        <v>563960</v>
      </c>
      <c r="E34" s="198">
        <v>536629</v>
      </c>
      <c r="F34" s="198">
        <v>458597</v>
      </c>
      <c r="G34" s="198">
        <v>391848</v>
      </c>
      <c r="H34" s="198">
        <v>524521</v>
      </c>
      <c r="I34" s="198">
        <v>530446</v>
      </c>
      <c r="J34" s="198">
        <v>591941</v>
      </c>
      <c r="K34" s="198">
        <v>619941</v>
      </c>
      <c r="L34" s="198">
        <v>605413</v>
      </c>
      <c r="M34" s="198">
        <v>562378</v>
      </c>
      <c r="N34" s="313">
        <v>514100</v>
      </c>
      <c r="O34" s="313">
        <v>419280</v>
      </c>
      <c r="P34" s="313">
        <v>278618</v>
      </c>
      <c r="Q34" s="313">
        <v>67515</v>
      </c>
      <c r="R34" s="379">
        <v>77913.2</v>
      </c>
      <c r="S34" s="388">
        <v>223243</v>
      </c>
      <c r="T34" s="388">
        <v>334877</v>
      </c>
      <c r="U34" s="388">
        <v>464503</v>
      </c>
    </row>
    <row r="35" spans="1:21">
      <c r="A35" s="41"/>
      <c r="B35" s="42"/>
      <c r="C35" s="56"/>
      <c r="D35" s="57"/>
      <c r="E35" s="56"/>
      <c r="F35" s="56"/>
      <c r="G35" s="56"/>
      <c r="H35" s="56"/>
      <c r="I35" s="165"/>
      <c r="J35" s="165"/>
      <c r="K35" s="165"/>
      <c r="L35" s="167"/>
      <c r="M35" s="167"/>
      <c r="N35" s="167"/>
      <c r="O35" s="167"/>
      <c r="P35" s="331"/>
      <c r="Q35" s="339"/>
      <c r="R35" s="360"/>
      <c r="S35" s="360"/>
      <c r="T35" s="360"/>
      <c r="U35" s="360"/>
    </row>
    <row r="36" spans="1:21">
      <c r="A36" s="170"/>
      <c r="B36" s="60"/>
      <c r="C36" s="171"/>
      <c r="D36" s="172"/>
      <c r="E36" s="171"/>
      <c r="F36" s="173"/>
      <c r="G36" s="174"/>
      <c r="H36" s="174"/>
      <c r="I36" s="175"/>
      <c r="J36" s="5"/>
      <c r="K36" s="5"/>
      <c r="L36" s="225"/>
      <c r="M36" s="225"/>
      <c r="N36" s="225"/>
      <c r="O36" s="225"/>
      <c r="P36" s="225"/>
      <c r="Q36" s="337"/>
      <c r="R36" s="362"/>
      <c r="S36" s="362"/>
      <c r="T36" s="362"/>
      <c r="U36" s="362"/>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rgb="FF00B050"/>
  </sheetPr>
  <dimension ref="A1:U37"/>
  <sheetViews>
    <sheetView view="pageLayout" zoomScaleNormal="100" workbookViewId="0">
      <selection activeCell="T81" sqref="T81"/>
    </sheetView>
  </sheetViews>
  <sheetFormatPr baseColWidth="10" defaultColWidth="11.42578125" defaultRowHeight="12.75"/>
  <cols>
    <col min="1" max="1" width="8.42578125" style="75" customWidth="1"/>
    <col min="2" max="2" width="60.85546875" style="75" bestFit="1" customWidth="1"/>
    <col min="3" max="8" width="10.7109375" style="2" bestFit="1" customWidth="1"/>
    <col min="9" max="9" width="12.28515625" style="2" bestFit="1" customWidth="1"/>
    <col min="10" max="17" width="11.42578125" style="2"/>
    <col min="18" max="21" width="15.42578125" style="78" bestFit="1" customWidth="1"/>
    <col min="22" max="16384" width="11.42578125" style="2"/>
  </cols>
  <sheetData>
    <row r="1" spans="1:21">
      <c r="A1" s="187" t="s">
        <v>0</v>
      </c>
      <c r="B1" s="12" t="s">
        <v>1</v>
      </c>
      <c r="C1" s="1">
        <v>2000</v>
      </c>
      <c r="D1" s="1">
        <v>2001</v>
      </c>
      <c r="E1" s="1">
        <v>2002</v>
      </c>
      <c r="F1" s="1">
        <v>2003</v>
      </c>
      <c r="G1" s="1">
        <v>2004</v>
      </c>
      <c r="H1" s="1">
        <v>2005</v>
      </c>
      <c r="I1" s="1">
        <v>2006</v>
      </c>
      <c r="J1" s="1">
        <v>2007</v>
      </c>
      <c r="K1" s="1">
        <v>2008</v>
      </c>
      <c r="L1" s="1">
        <v>2009</v>
      </c>
      <c r="M1" s="1">
        <v>2010</v>
      </c>
      <c r="N1" s="1">
        <v>2011</v>
      </c>
      <c r="O1" s="1">
        <v>2012</v>
      </c>
      <c r="P1" s="1">
        <v>2013</v>
      </c>
      <c r="Q1" s="342">
        <v>2014</v>
      </c>
      <c r="R1" s="344">
        <v>2015</v>
      </c>
      <c r="S1" s="344">
        <v>2016</v>
      </c>
      <c r="T1" s="344">
        <v>2017</v>
      </c>
      <c r="U1" s="344">
        <v>2018</v>
      </c>
    </row>
    <row r="2" spans="1:21">
      <c r="A2" s="7" t="s">
        <v>3</v>
      </c>
      <c r="B2" s="8" t="s">
        <v>81</v>
      </c>
      <c r="C2" s="79"/>
      <c r="D2" s="79"/>
      <c r="E2" s="79"/>
      <c r="F2" s="79"/>
      <c r="G2" s="79"/>
      <c r="H2" s="79"/>
      <c r="I2" s="79"/>
      <c r="J2" s="79"/>
      <c r="K2" s="79"/>
      <c r="L2" s="79"/>
      <c r="M2" s="79"/>
      <c r="N2" s="79"/>
      <c r="O2" s="79"/>
      <c r="P2" s="369" t="s">
        <v>103</v>
      </c>
      <c r="Q2" s="369" t="s">
        <v>103</v>
      </c>
      <c r="R2" s="369" t="s">
        <v>103</v>
      </c>
      <c r="S2" s="369" t="s">
        <v>103</v>
      </c>
      <c r="T2" s="369" t="s">
        <v>103</v>
      </c>
      <c r="U2" s="369" t="s">
        <v>103</v>
      </c>
    </row>
    <row r="3" spans="1:21">
      <c r="A3" s="186"/>
      <c r="B3" s="2"/>
      <c r="C3" s="86" t="s">
        <v>4</v>
      </c>
      <c r="D3" s="86" t="s">
        <v>4</v>
      </c>
      <c r="E3" s="86" t="s">
        <v>4</v>
      </c>
      <c r="F3" s="86" t="s">
        <v>4</v>
      </c>
      <c r="G3" s="86" t="s">
        <v>4</v>
      </c>
      <c r="H3" s="86" t="s">
        <v>4</v>
      </c>
      <c r="I3" s="10" t="s">
        <v>4</v>
      </c>
      <c r="J3" s="10" t="s">
        <v>4</v>
      </c>
      <c r="K3" s="10" t="s">
        <v>4</v>
      </c>
      <c r="L3" s="10" t="s">
        <v>4</v>
      </c>
      <c r="M3" s="10" t="s">
        <v>4</v>
      </c>
      <c r="N3" s="10" t="s">
        <v>4</v>
      </c>
      <c r="O3" s="10" t="s">
        <v>4</v>
      </c>
      <c r="P3" s="10" t="s">
        <v>4</v>
      </c>
      <c r="Q3" s="347" t="s">
        <v>4</v>
      </c>
      <c r="R3" s="343" t="s">
        <v>4</v>
      </c>
      <c r="S3" s="343" t="s">
        <v>4</v>
      </c>
      <c r="T3" s="343" t="s">
        <v>4</v>
      </c>
      <c r="U3" s="343" t="s">
        <v>4</v>
      </c>
    </row>
    <row r="4" spans="1:21">
      <c r="A4" s="11">
        <v>1</v>
      </c>
      <c r="B4" s="12" t="s">
        <v>5</v>
      </c>
      <c r="C4" s="87">
        <f t="shared" ref="C4:H4" si="0">C6+C11+C16+C18</f>
        <v>248218</v>
      </c>
      <c r="D4" s="87">
        <f t="shared" si="0"/>
        <v>182730</v>
      </c>
      <c r="E4" s="87">
        <f t="shared" si="0"/>
        <v>193778</v>
      </c>
      <c r="F4" s="87">
        <f t="shared" si="0"/>
        <v>172294</v>
      </c>
      <c r="G4" s="87">
        <f t="shared" si="0"/>
        <v>213058</v>
      </c>
      <c r="H4" s="87">
        <f t="shared" si="0"/>
        <v>312507</v>
      </c>
      <c r="I4" s="13">
        <f t="shared" ref="I4:P4" si="1">I6+I11+I16+I18</f>
        <v>240492</v>
      </c>
      <c r="J4" s="13">
        <f t="shared" si="1"/>
        <v>210807.7</v>
      </c>
      <c r="K4" s="13">
        <f t="shared" si="1"/>
        <v>231513</v>
      </c>
      <c r="L4" s="13">
        <f t="shared" si="1"/>
        <v>231386</v>
      </c>
      <c r="M4" s="13">
        <f t="shared" si="1"/>
        <v>232939</v>
      </c>
      <c r="N4" s="13">
        <f t="shared" si="1"/>
        <v>1354313.66289</v>
      </c>
      <c r="O4" s="13">
        <f t="shared" si="1"/>
        <v>298180.30000000005</v>
      </c>
      <c r="P4" s="13">
        <f t="shared" si="1"/>
        <v>308074.5</v>
      </c>
      <c r="Q4" s="13">
        <f t="shared" ref="Q4" si="2">Q6+Q11+Q16+Q18</f>
        <v>438982.89999999997</v>
      </c>
      <c r="R4" s="13">
        <f t="shared" ref="R4" si="3">R6+R11+R16+R18</f>
        <v>429471.9</v>
      </c>
      <c r="S4" s="13">
        <f t="shared" ref="S4:T4" si="4">S6+S11+S16+S18</f>
        <v>444263</v>
      </c>
      <c r="T4" s="13">
        <f t="shared" si="4"/>
        <v>421379.9</v>
      </c>
      <c r="U4" s="13">
        <f t="shared" ref="U4" si="5">U6+U11+U16+U18</f>
        <v>374911.9</v>
      </c>
    </row>
    <row r="5" spans="1:21">
      <c r="A5" s="14"/>
      <c r="B5" s="15"/>
      <c r="C5" s="16"/>
      <c r="D5" s="17"/>
      <c r="E5" s="16"/>
      <c r="F5" s="16"/>
      <c r="G5" s="149"/>
      <c r="H5" s="18"/>
      <c r="I5" s="18"/>
      <c r="J5" s="18"/>
      <c r="K5" s="18"/>
      <c r="L5" s="18"/>
      <c r="M5" s="18"/>
      <c r="N5" s="18"/>
      <c r="O5" s="18"/>
      <c r="P5" s="18"/>
      <c r="Q5" s="18"/>
      <c r="R5" s="18"/>
      <c r="S5" s="18"/>
      <c r="T5" s="18"/>
      <c r="U5" s="18"/>
    </row>
    <row r="6" spans="1:21">
      <c r="A6" s="19">
        <v>10</v>
      </c>
      <c r="B6" s="12" t="s">
        <v>6</v>
      </c>
      <c r="C6" s="13">
        <v>157329</v>
      </c>
      <c r="D6" s="13">
        <f>D7+D8+D9</f>
        <v>102672</v>
      </c>
      <c r="E6" s="13">
        <f>E7+E8+E9</f>
        <v>119525</v>
      </c>
      <c r="F6" s="13">
        <f>F7+F8+F9</f>
        <v>101450</v>
      </c>
      <c r="G6" s="13">
        <v>145514</v>
      </c>
      <c r="H6" s="13">
        <f t="shared" ref="H6:M6" si="6">H7+H8+H9</f>
        <v>252200</v>
      </c>
      <c r="I6" s="13">
        <f t="shared" si="6"/>
        <v>234069</v>
      </c>
      <c r="J6" s="13">
        <f t="shared" si="6"/>
        <v>201517</v>
      </c>
      <c r="K6" s="13">
        <f t="shared" si="6"/>
        <v>216454</v>
      </c>
      <c r="L6" s="13">
        <f t="shared" si="6"/>
        <v>211626</v>
      </c>
      <c r="M6" s="13">
        <f t="shared" si="6"/>
        <v>205645</v>
      </c>
      <c r="N6" s="13">
        <f t="shared" ref="N6:S6" si="7">N7+N8+N9</f>
        <v>1304909.66289</v>
      </c>
      <c r="O6" s="13">
        <f t="shared" si="7"/>
        <v>162879.70000000001</v>
      </c>
      <c r="P6" s="13">
        <f t="shared" si="7"/>
        <v>166653.69999999998</v>
      </c>
      <c r="Q6" s="13">
        <f t="shared" si="7"/>
        <v>186732.6</v>
      </c>
      <c r="R6" s="13">
        <f t="shared" si="7"/>
        <v>176731.40000000002</v>
      </c>
      <c r="S6" s="13">
        <f t="shared" si="7"/>
        <v>184254</v>
      </c>
      <c r="T6" s="13">
        <f t="shared" ref="T6" si="8">T7+T8+T9</f>
        <v>158461.9</v>
      </c>
      <c r="U6" s="13">
        <f t="shared" ref="U6" si="9">U7+U8+U9</f>
        <v>155926.00000000003</v>
      </c>
    </row>
    <row r="7" spans="1:21">
      <c r="A7" s="20" t="s">
        <v>7</v>
      </c>
      <c r="B7" s="21" t="s">
        <v>8</v>
      </c>
      <c r="C7" s="164">
        <v>113578</v>
      </c>
      <c r="D7" s="164">
        <f>14241+48544</f>
        <v>62785</v>
      </c>
      <c r="E7" s="164">
        <f>25632+54957</f>
        <v>80589</v>
      </c>
      <c r="F7" s="164">
        <v>69983</v>
      </c>
      <c r="G7" s="164">
        <v>115500</v>
      </c>
      <c r="H7" s="164">
        <f>31978+87601</f>
        <v>119579</v>
      </c>
      <c r="I7" s="164">
        <f>21867+74462</f>
        <v>96329</v>
      </c>
      <c r="J7" s="164">
        <f>29993+91982</f>
        <v>121975</v>
      </c>
      <c r="K7" s="164">
        <v>134282</v>
      </c>
      <c r="L7" s="164">
        <v>138422</v>
      </c>
      <c r="M7" s="164">
        <v>145921</v>
      </c>
      <c r="N7" s="302">
        <v>1252114.66289</v>
      </c>
      <c r="O7" s="302">
        <f>31761.3+95287.2</f>
        <v>127048.5</v>
      </c>
      <c r="P7" s="302">
        <v>114123.9</v>
      </c>
      <c r="Q7" s="302">
        <v>127604.9</v>
      </c>
      <c r="R7" s="302">
        <v>115848.7</v>
      </c>
      <c r="S7" s="302">
        <v>122746</v>
      </c>
      <c r="T7" s="302">
        <v>97885.7</v>
      </c>
      <c r="U7" s="302">
        <v>95025.1</v>
      </c>
    </row>
    <row r="8" spans="1:21">
      <c r="A8" s="25">
        <v>102</v>
      </c>
      <c r="B8" s="26" t="s">
        <v>9</v>
      </c>
      <c r="C8" s="164">
        <v>42574</v>
      </c>
      <c r="D8" s="164">
        <v>39383</v>
      </c>
      <c r="E8" s="164">
        <v>38578</v>
      </c>
      <c r="F8" s="164">
        <v>30639</v>
      </c>
      <c r="G8" s="164">
        <v>29132</v>
      </c>
      <c r="H8" s="164">
        <v>130945</v>
      </c>
      <c r="I8" s="164">
        <v>135745</v>
      </c>
      <c r="J8" s="164">
        <v>76894</v>
      </c>
      <c r="K8" s="164">
        <v>77932</v>
      </c>
      <c r="L8" s="164">
        <v>68440</v>
      </c>
      <c r="M8" s="164">
        <v>54128</v>
      </c>
      <c r="N8" s="302">
        <v>46954</v>
      </c>
      <c r="O8" s="302">
        <v>30457.599999999999</v>
      </c>
      <c r="P8" s="302">
        <v>35565.9</v>
      </c>
      <c r="Q8" s="302">
        <v>38959.599999999999</v>
      </c>
      <c r="R8" s="302">
        <v>38641</v>
      </c>
      <c r="S8" s="302">
        <v>39249</v>
      </c>
      <c r="T8" s="302">
        <v>35992.6</v>
      </c>
      <c r="U8" s="302">
        <v>35528.700000000004</v>
      </c>
    </row>
    <row r="9" spans="1:21">
      <c r="A9" s="25">
        <v>103</v>
      </c>
      <c r="B9" s="26" t="s">
        <v>10</v>
      </c>
      <c r="C9" s="164">
        <v>1177</v>
      </c>
      <c r="D9" s="164">
        <v>504</v>
      </c>
      <c r="E9" s="164">
        <v>358</v>
      </c>
      <c r="F9" s="164">
        <v>828</v>
      </c>
      <c r="G9" s="164">
        <v>882</v>
      </c>
      <c r="H9" s="164">
        <v>1676</v>
      </c>
      <c r="I9" s="164">
        <v>1995</v>
      </c>
      <c r="J9" s="164">
        <v>2648</v>
      </c>
      <c r="K9" s="164">
        <v>4240</v>
      </c>
      <c r="L9" s="164">
        <v>4764</v>
      </c>
      <c r="M9" s="164">
        <v>5596</v>
      </c>
      <c r="N9" s="302">
        <v>5841</v>
      </c>
      <c r="O9" s="302">
        <v>5373.6</v>
      </c>
      <c r="P9" s="302">
        <v>16963.900000000001</v>
      </c>
      <c r="Q9" s="302">
        <v>20168.099999999999</v>
      </c>
      <c r="R9" s="302">
        <v>22241.7</v>
      </c>
      <c r="S9" s="302">
        <v>22259</v>
      </c>
      <c r="T9" s="302">
        <v>24583.599999999999</v>
      </c>
      <c r="U9" s="302">
        <v>25372.2</v>
      </c>
    </row>
    <row r="10" spans="1:21">
      <c r="A10" s="28"/>
      <c r="B10" s="29"/>
      <c r="C10" s="30"/>
      <c r="D10" s="31"/>
      <c r="E10" s="30"/>
      <c r="F10" s="30"/>
      <c r="G10" s="149"/>
      <c r="H10" s="18"/>
      <c r="I10" s="18"/>
      <c r="J10" s="18"/>
      <c r="K10" s="18"/>
      <c r="L10" s="18"/>
      <c r="M10" s="18"/>
      <c r="N10" s="18"/>
      <c r="O10" s="18"/>
      <c r="P10" s="18"/>
      <c r="Q10" s="18"/>
      <c r="R10" s="18"/>
      <c r="S10" s="18"/>
      <c r="T10" s="18"/>
      <c r="U10" s="18"/>
    </row>
    <row r="11" spans="1:21">
      <c r="A11" s="19">
        <v>11</v>
      </c>
      <c r="B11" s="12" t="s">
        <v>11</v>
      </c>
      <c r="C11" s="13">
        <v>90526</v>
      </c>
      <c r="D11" s="13">
        <f t="shared" ref="D11:I11" si="10">D12+D13+D14</f>
        <v>80044</v>
      </c>
      <c r="E11" s="13">
        <f t="shared" si="10"/>
        <v>74022</v>
      </c>
      <c r="F11" s="13">
        <f t="shared" si="10"/>
        <v>70814</v>
      </c>
      <c r="G11" s="13">
        <f t="shared" si="10"/>
        <v>67367</v>
      </c>
      <c r="H11" s="13">
        <f t="shared" si="10"/>
        <v>59797</v>
      </c>
      <c r="I11" s="13">
        <f t="shared" si="10"/>
        <v>3777</v>
      </c>
      <c r="J11" s="13">
        <f t="shared" ref="J11:P11" si="11">J12+J13+J14</f>
        <v>9290.7000000000007</v>
      </c>
      <c r="K11" s="13">
        <f t="shared" si="11"/>
        <v>15059</v>
      </c>
      <c r="L11" s="13">
        <f t="shared" si="11"/>
        <v>19760</v>
      </c>
      <c r="M11" s="13">
        <f t="shared" si="11"/>
        <v>27294</v>
      </c>
      <c r="N11" s="13">
        <f t="shared" si="11"/>
        <v>49404</v>
      </c>
      <c r="O11" s="13">
        <f t="shared" si="11"/>
        <v>135300.6</v>
      </c>
      <c r="P11" s="13">
        <f t="shared" si="11"/>
        <v>141420.79999999999</v>
      </c>
      <c r="Q11" s="13">
        <f t="shared" ref="Q11" si="12">Q12+Q13+Q14</f>
        <v>252250.29999999996</v>
      </c>
      <c r="R11" s="13">
        <f t="shared" ref="R11" si="13">R12+R13+R14</f>
        <v>252740.5</v>
      </c>
      <c r="S11" s="13">
        <f t="shared" ref="S11:T11" si="14">S12+S13+S14</f>
        <v>260009</v>
      </c>
      <c r="T11" s="13">
        <f t="shared" si="14"/>
        <v>262918</v>
      </c>
      <c r="U11" s="13">
        <f t="shared" ref="U11" si="15">U12+U13+U14</f>
        <v>218985.9</v>
      </c>
    </row>
    <row r="12" spans="1:21">
      <c r="A12" s="32">
        <v>114</v>
      </c>
      <c r="B12" s="21" t="s">
        <v>12</v>
      </c>
      <c r="C12" s="164">
        <v>71955</v>
      </c>
      <c r="D12" s="164">
        <v>70345</v>
      </c>
      <c r="E12" s="164">
        <v>69344</v>
      </c>
      <c r="F12" s="164">
        <v>66133</v>
      </c>
      <c r="G12" s="164">
        <v>62214</v>
      </c>
      <c r="H12" s="164">
        <v>54974</v>
      </c>
      <c r="I12" s="164">
        <v>0</v>
      </c>
      <c r="J12" s="164">
        <v>5552.8</v>
      </c>
      <c r="K12" s="164">
        <v>11391</v>
      </c>
      <c r="L12" s="164">
        <v>16135</v>
      </c>
      <c r="M12" s="164">
        <v>23476</v>
      </c>
      <c r="N12" s="302">
        <v>45583</v>
      </c>
      <c r="O12" s="302">
        <v>48131.3</v>
      </c>
      <c r="P12" s="302">
        <v>53083.7</v>
      </c>
      <c r="Q12" s="302">
        <v>144724.59999999998</v>
      </c>
      <c r="R12" s="302">
        <v>140491.70000000001</v>
      </c>
      <c r="S12" s="302">
        <v>142630</v>
      </c>
      <c r="T12" s="302">
        <v>141465.1</v>
      </c>
      <c r="U12" s="302">
        <v>125347.1</v>
      </c>
    </row>
    <row r="13" spans="1:21">
      <c r="A13" s="25">
        <v>115</v>
      </c>
      <c r="B13" s="26" t="s">
        <v>13</v>
      </c>
      <c r="C13" s="164">
        <v>18571</v>
      </c>
      <c r="D13" s="164">
        <v>9699</v>
      </c>
      <c r="E13" s="164">
        <v>4678</v>
      </c>
      <c r="F13" s="164">
        <v>4681</v>
      </c>
      <c r="G13" s="164">
        <v>4753</v>
      </c>
      <c r="H13" s="164">
        <v>4723</v>
      </c>
      <c r="I13" s="164">
        <v>3777</v>
      </c>
      <c r="J13" s="164">
        <v>3737.9</v>
      </c>
      <c r="K13" s="164">
        <v>3668</v>
      </c>
      <c r="L13" s="164">
        <v>3625</v>
      </c>
      <c r="M13" s="164">
        <v>3818</v>
      </c>
      <c r="N13" s="302">
        <v>3821</v>
      </c>
      <c r="O13" s="302">
        <v>87169.3</v>
      </c>
      <c r="P13" s="302">
        <v>88337.1</v>
      </c>
      <c r="Q13" s="302">
        <v>89323.9</v>
      </c>
      <c r="R13" s="302">
        <v>89607.299999999988</v>
      </c>
      <c r="S13" s="302">
        <v>93666</v>
      </c>
      <c r="T13" s="302">
        <v>89230</v>
      </c>
      <c r="U13" s="302">
        <v>58953.2</v>
      </c>
    </row>
    <row r="14" spans="1:21">
      <c r="A14" s="33" t="s">
        <v>14</v>
      </c>
      <c r="B14" s="34" t="s">
        <v>15</v>
      </c>
      <c r="C14" s="164">
        <v>0</v>
      </c>
      <c r="D14" s="164">
        <v>0</v>
      </c>
      <c r="E14" s="164">
        <v>0</v>
      </c>
      <c r="F14" s="164">
        <v>0</v>
      </c>
      <c r="G14" s="164">
        <v>400</v>
      </c>
      <c r="H14" s="164">
        <v>100</v>
      </c>
      <c r="I14" s="164">
        <v>0</v>
      </c>
      <c r="J14" s="164">
        <v>0</v>
      </c>
      <c r="K14" s="164">
        <v>0</v>
      </c>
      <c r="L14" s="164">
        <v>0</v>
      </c>
      <c r="M14" s="164">
        <v>0</v>
      </c>
      <c r="N14" s="302">
        <v>0</v>
      </c>
      <c r="O14" s="302">
        <v>0</v>
      </c>
      <c r="P14" s="302">
        <v>0</v>
      </c>
      <c r="Q14" s="302">
        <v>18201.8</v>
      </c>
      <c r="R14" s="302">
        <v>22641.5</v>
      </c>
      <c r="S14" s="302">
        <v>23713</v>
      </c>
      <c r="T14" s="302">
        <v>32222.9</v>
      </c>
      <c r="U14" s="302">
        <v>34685.599999999999</v>
      </c>
    </row>
    <row r="15" spans="1:21">
      <c r="A15" s="35"/>
      <c r="B15" s="36"/>
      <c r="C15" s="30"/>
      <c r="D15" s="31"/>
      <c r="E15" s="30"/>
      <c r="F15" s="30"/>
      <c r="G15" s="149"/>
      <c r="H15" s="37"/>
      <c r="I15" s="156"/>
      <c r="J15" s="156"/>
      <c r="K15" s="156"/>
      <c r="L15" s="156"/>
      <c r="M15" s="156"/>
      <c r="N15" s="308"/>
      <c r="O15" s="308"/>
      <c r="P15" s="308"/>
      <c r="Q15" s="308"/>
      <c r="R15" s="308"/>
      <c r="S15" s="308"/>
      <c r="T15" s="308"/>
      <c r="U15" s="308"/>
    </row>
    <row r="16" spans="1:21">
      <c r="A16" s="11">
        <v>12</v>
      </c>
      <c r="B16" s="38" t="s">
        <v>16</v>
      </c>
      <c r="C16" s="13">
        <v>363</v>
      </c>
      <c r="D16" s="13">
        <v>14</v>
      </c>
      <c r="E16" s="13">
        <v>231</v>
      </c>
      <c r="F16" s="13">
        <v>30</v>
      </c>
      <c r="G16" s="13">
        <v>177</v>
      </c>
      <c r="H16" s="13">
        <v>510</v>
      </c>
      <c r="I16" s="13">
        <v>2646</v>
      </c>
      <c r="J16" s="13">
        <v>0</v>
      </c>
      <c r="K16" s="13">
        <v>0</v>
      </c>
      <c r="L16" s="13">
        <v>0</v>
      </c>
      <c r="M16" s="13">
        <v>0</v>
      </c>
      <c r="N16" s="309">
        <v>0</v>
      </c>
      <c r="O16" s="309">
        <v>0</v>
      </c>
      <c r="P16" s="309">
        <v>0</v>
      </c>
      <c r="Q16" s="309">
        <v>0</v>
      </c>
      <c r="R16" s="309">
        <v>0</v>
      </c>
      <c r="S16" s="309">
        <v>0</v>
      </c>
      <c r="T16" s="309">
        <v>0</v>
      </c>
      <c r="U16" s="309">
        <v>0</v>
      </c>
    </row>
    <row r="17" spans="1:21">
      <c r="A17" s="39"/>
      <c r="B17" s="40"/>
      <c r="C17" s="16"/>
      <c r="D17" s="17"/>
      <c r="E17" s="16"/>
      <c r="F17" s="16"/>
      <c r="G17" s="91"/>
      <c r="H17" s="18"/>
      <c r="I17" s="18"/>
      <c r="J17" s="18"/>
      <c r="K17" s="18"/>
      <c r="L17" s="18"/>
      <c r="M17" s="18"/>
      <c r="N17" s="311"/>
      <c r="O17" s="311"/>
      <c r="P17" s="311"/>
      <c r="Q17" s="311"/>
      <c r="R17" s="311"/>
      <c r="S17" s="311"/>
      <c r="T17" s="311"/>
      <c r="U17" s="311"/>
    </row>
    <row r="18" spans="1:21">
      <c r="A18" s="11">
        <v>13</v>
      </c>
      <c r="B18" s="38" t="s">
        <v>17</v>
      </c>
      <c r="C18" s="13">
        <v>0</v>
      </c>
      <c r="D18" s="13">
        <v>0</v>
      </c>
      <c r="E18" s="13">
        <v>0</v>
      </c>
      <c r="F18" s="13">
        <v>0</v>
      </c>
      <c r="G18" s="13">
        <v>0</v>
      </c>
      <c r="H18" s="13">
        <v>0</v>
      </c>
      <c r="I18" s="13">
        <v>0</v>
      </c>
      <c r="J18" s="13">
        <v>0</v>
      </c>
      <c r="K18" s="13">
        <v>0</v>
      </c>
      <c r="L18" s="13">
        <v>0</v>
      </c>
      <c r="M18" s="13">
        <v>0</v>
      </c>
      <c r="N18" s="309">
        <v>0</v>
      </c>
      <c r="O18" s="309">
        <v>0</v>
      </c>
      <c r="P18" s="309">
        <v>0</v>
      </c>
      <c r="Q18" s="309">
        <v>0</v>
      </c>
      <c r="R18" s="309">
        <v>0</v>
      </c>
      <c r="S18" s="309">
        <v>0</v>
      </c>
      <c r="T18" s="309">
        <v>0</v>
      </c>
      <c r="U18" s="309">
        <v>0</v>
      </c>
    </row>
    <row r="19" spans="1:21">
      <c r="A19" s="41"/>
      <c r="B19" s="42"/>
      <c r="C19" s="22"/>
      <c r="D19" s="23"/>
      <c r="E19" s="22"/>
      <c r="F19" s="22"/>
      <c r="G19" s="56"/>
      <c r="H19" s="18"/>
      <c r="I19" s="18"/>
      <c r="J19" s="18"/>
      <c r="K19" s="18"/>
      <c r="L19" s="18"/>
      <c r="M19" s="18"/>
      <c r="N19" s="311"/>
      <c r="O19" s="311"/>
      <c r="P19" s="311"/>
      <c r="Q19" s="311"/>
      <c r="R19" s="311"/>
      <c r="S19" s="311"/>
      <c r="T19" s="311"/>
      <c r="U19" s="311"/>
    </row>
    <row r="20" spans="1:21">
      <c r="A20" s="43"/>
      <c r="B20" s="36"/>
      <c r="C20" s="30"/>
      <c r="D20" s="31"/>
      <c r="E20" s="30"/>
      <c r="F20" s="30"/>
      <c r="G20" s="150"/>
      <c r="H20" s="37"/>
      <c r="I20" s="156"/>
      <c r="J20" s="156"/>
      <c r="K20" s="156"/>
      <c r="L20" s="156"/>
      <c r="M20" s="156"/>
      <c r="N20" s="308"/>
      <c r="O20" s="308"/>
      <c r="P20" s="308"/>
      <c r="Q20" s="308"/>
      <c r="R20" s="308"/>
      <c r="S20" s="308"/>
      <c r="T20" s="308"/>
      <c r="U20" s="308"/>
    </row>
    <row r="21" spans="1:21">
      <c r="A21" s="11">
        <v>2</v>
      </c>
      <c r="B21" s="38" t="s">
        <v>18</v>
      </c>
      <c r="C21" s="13">
        <f t="shared" ref="C21:I21" si="16">C23+C28+C30+C32+C34</f>
        <v>248218</v>
      </c>
      <c r="D21" s="13">
        <f t="shared" si="16"/>
        <v>182730</v>
      </c>
      <c r="E21" s="13">
        <f t="shared" si="16"/>
        <v>193778</v>
      </c>
      <c r="F21" s="13">
        <f t="shared" si="16"/>
        <v>172294</v>
      </c>
      <c r="G21" s="13">
        <f t="shared" si="16"/>
        <v>213058</v>
      </c>
      <c r="H21" s="13">
        <f t="shared" si="16"/>
        <v>312507</v>
      </c>
      <c r="I21" s="13">
        <f t="shared" si="16"/>
        <v>240492</v>
      </c>
      <c r="J21" s="13">
        <f t="shared" ref="J21:P21" si="17">J23+J28+J30+J32+J34</f>
        <v>210807.5</v>
      </c>
      <c r="K21" s="13">
        <f t="shared" si="17"/>
        <v>231513</v>
      </c>
      <c r="L21" s="13">
        <f t="shared" si="17"/>
        <v>231386</v>
      </c>
      <c r="M21" s="13">
        <f t="shared" si="17"/>
        <v>232939</v>
      </c>
      <c r="N21" s="13">
        <f t="shared" si="17"/>
        <v>255902</v>
      </c>
      <c r="O21" s="13">
        <f t="shared" si="17"/>
        <v>298180.2</v>
      </c>
      <c r="P21" s="13">
        <f t="shared" si="17"/>
        <v>308074.5</v>
      </c>
      <c r="Q21" s="13">
        <f t="shared" ref="Q21:R21" si="18">Q23+Q28+Q30+Q32+Q34</f>
        <v>438982.80000000005</v>
      </c>
      <c r="R21" s="13">
        <f t="shared" si="18"/>
        <v>429471.8</v>
      </c>
      <c r="S21" s="13">
        <f t="shared" ref="S21:T21" si="19">S23+S28+S30+S32+S34</f>
        <v>444263</v>
      </c>
      <c r="T21" s="13">
        <f t="shared" si="19"/>
        <v>421379.80000000005</v>
      </c>
      <c r="U21" s="13">
        <f t="shared" ref="U21" si="20">U23+U28+U30+U32+U34</f>
        <v>374911.9</v>
      </c>
    </row>
    <row r="22" spans="1:21">
      <c r="A22" s="44"/>
      <c r="B22" s="45"/>
      <c r="C22" s="16"/>
      <c r="D22" s="17"/>
      <c r="E22" s="16"/>
      <c r="F22" s="16"/>
      <c r="G22" s="56"/>
      <c r="H22" s="18"/>
      <c r="I22" s="18"/>
      <c r="J22" s="18"/>
      <c r="K22" s="18"/>
      <c r="L22" s="18"/>
      <c r="M22" s="18"/>
      <c r="N22" s="18"/>
      <c r="O22" s="18"/>
      <c r="P22" s="18"/>
      <c r="Q22" s="18"/>
      <c r="R22" s="18"/>
      <c r="S22" s="18"/>
      <c r="T22" s="18"/>
      <c r="U22" s="18"/>
    </row>
    <row r="23" spans="1:21">
      <c r="A23" s="46">
        <v>20</v>
      </c>
      <c r="B23" s="47" t="s">
        <v>19</v>
      </c>
      <c r="C23" s="13">
        <v>206573</v>
      </c>
      <c r="D23" s="13">
        <f t="shared" ref="D23:I23" si="21">D24+D25+D26</f>
        <v>136859</v>
      </c>
      <c r="E23" s="13">
        <f t="shared" si="21"/>
        <v>148005</v>
      </c>
      <c r="F23" s="13">
        <f t="shared" si="21"/>
        <v>130789</v>
      </c>
      <c r="G23" s="13">
        <f t="shared" si="21"/>
        <v>167331</v>
      </c>
      <c r="H23" s="13">
        <f t="shared" si="21"/>
        <v>139312</v>
      </c>
      <c r="I23" s="13">
        <f t="shared" si="21"/>
        <v>119973</v>
      </c>
      <c r="J23" s="13">
        <f t="shared" ref="J23:P23" si="22">J24+J25+J26</f>
        <v>108880.5</v>
      </c>
      <c r="K23" s="13">
        <f t="shared" si="22"/>
        <v>115198</v>
      </c>
      <c r="L23" s="13">
        <f t="shared" si="22"/>
        <v>118827</v>
      </c>
      <c r="M23" s="13">
        <f t="shared" si="22"/>
        <v>116101</v>
      </c>
      <c r="N23" s="13">
        <f t="shared" si="22"/>
        <v>132412</v>
      </c>
      <c r="O23" s="13">
        <f t="shared" si="22"/>
        <v>151022.30000000002</v>
      </c>
      <c r="P23" s="13">
        <f t="shared" si="22"/>
        <v>196860.39999999997</v>
      </c>
      <c r="Q23" s="13">
        <f t="shared" ref="Q23:R23" si="23">Q24+Q25+Q26</f>
        <v>243217.40000000002</v>
      </c>
      <c r="R23" s="13">
        <f t="shared" si="23"/>
        <v>240270.1</v>
      </c>
      <c r="S23" s="13">
        <f t="shared" ref="S23:T23" si="24">S24+S25+S26</f>
        <v>274592</v>
      </c>
      <c r="T23" s="13">
        <f t="shared" si="24"/>
        <v>258785.9</v>
      </c>
      <c r="U23" s="13">
        <f t="shared" ref="U23" si="25">U24+U25+U26</f>
        <v>203342.2</v>
      </c>
    </row>
    <row r="24" spans="1:21">
      <c r="A24" s="48" t="s">
        <v>20</v>
      </c>
      <c r="B24" s="49" t="s">
        <v>21</v>
      </c>
      <c r="C24" s="164">
        <v>8406</v>
      </c>
      <c r="D24" s="164">
        <f>10246</f>
        <v>10246</v>
      </c>
      <c r="E24" s="164">
        <v>8671</v>
      </c>
      <c r="F24" s="164">
        <v>30250</v>
      </c>
      <c r="G24" s="164">
        <v>75270</v>
      </c>
      <c r="H24" s="164">
        <f>48860+0</f>
        <v>48860</v>
      </c>
      <c r="I24" s="164">
        <f>39864+0</f>
        <v>39864</v>
      </c>
      <c r="J24" s="164">
        <f>45552.5+0</f>
        <v>45552.5</v>
      </c>
      <c r="K24" s="164">
        <v>60322</v>
      </c>
      <c r="L24" s="164">
        <v>67430</v>
      </c>
      <c r="M24" s="164">
        <v>75797</v>
      </c>
      <c r="N24" s="302">
        <v>81934</v>
      </c>
      <c r="O24" s="302">
        <f>67935.1</f>
        <v>67935.100000000006</v>
      </c>
      <c r="P24" s="302">
        <v>114217.7</v>
      </c>
      <c r="Q24" s="302">
        <v>97372.2</v>
      </c>
      <c r="R24" s="302">
        <v>91718.200000000012</v>
      </c>
      <c r="S24" s="302">
        <v>138428</v>
      </c>
      <c r="T24" s="302">
        <v>117476.3</v>
      </c>
      <c r="U24" s="302">
        <v>71061.100000000006</v>
      </c>
    </row>
    <row r="25" spans="1:21">
      <c r="A25" s="50">
        <v>202</v>
      </c>
      <c r="B25" s="51" t="s">
        <v>22</v>
      </c>
      <c r="C25" s="164">
        <v>185593</v>
      </c>
      <c r="D25" s="164">
        <v>114934</v>
      </c>
      <c r="E25" s="164">
        <v>113000</v>
      </c>
      <c r="F25" s="164">
        <v>63000</v>
      </c>
      <c r="G25" s="164">
        <v>63000</v>
      </c>
      <c r="H25" s="164">
        <v>63000</v>
      </c>
      <c r="I25" s="164">
        <v>63031</v>
      </c>
      <c r="J25" s="164">
        <v>50023</v>
      </c>
      <c r="K25" s="164">
        <v>40615</v>
      </c>
      <c r="L25" s="164">
        <v>31358</v>
      </c>
      <c r="M25" s="164">
        <v>21950</v>
      </c>
      <c r="N25" s="302">
        <v>30015</v>
      </c>
      <c r="O25" s="302">
        <v>61000</v>
      </c>
      <c r="P25" s="302">
        <v>71276.399999999994</v>
      </c>
      <c r="Q25" s="302">
        <v>121190.5</v>
      </c>
      <c r="R25" s="302">
        <v>122487.5</v>
      </c>
      <c r="S25" s="302">
        <v>120861</v>
      </c>
      <c r="T25" s="302">
        <v>120775</v>
      </c>
      <c r="U25" s="302">
        <v>111550</v>
      </c>
    </row>
    <row r="26" spans="1:21">
      <c r="A26" s="50">
        <v>205</v>
      </c>
      <c r="B26" s="52" t="s">
        <v>23</v>
      </c>
      <c r="C26" s="164">
        <v>12574</v>
      </c>
      <c r="D26" s="164">
        <v>11679</v>
      </c>
      <c r="E26" s="164">
        <v>26334</v>
      </c>
      <c r="F26" s="164">
        <v>37539</v>
      </c>
      <c r="G26" s="164">
        <v>29061</v>
      </c>
      <c r="H26" s="164">
        <v>27452</v>
      </c>
      <c r="I26" s="164">
        <v>17078</v>
      </c>
      <c r="J26" s="164">
        <v>13305</v>
      </c>
      <c r="K26" s="164">
        <v>14261</v>
      </c>
      <c r="L26" s="164">
        <v>20039</v>
      </c>
      <c r="M26" s="164">
        <v>18354</v>
      </c>
      <c r="N26" s="302">
        <v>20463</v>
      </c>
      <c r="O26" s="302">
        <v>22087.200000000001</v>
      </c>
      <c r="P26" s="302">
        <v>11366.3</v>
      </c>
      <c r="Q26" s="302">
        <v>24654.7</v>
      </c>
      <c r="R26" s="302">
        <v>26064.400000000001</v>
      </c>
      <c r="S26" s="302">
        <v>15303</v>
      </c>
      <c r="T26" s="302">
        <v>20534.599999999999</v>
      </c>
      <c r="U26" s="302">
        <v>20731.099999999999</v>
      </c>
    </row>
    <row r="27" spans="1:21">
      <c r="A27" s="35"/>
      <c r="B27" s="36"/>
      <c r="C27" s="30"/>
      <c r="D27" s="31"/>
      <c r="E27" s="30"/>
      <c r="F27" s="30"/>
      <c r="G27" s="150"/>
      <c r="H27" s="37"/>
      <c r="I27" s="156"/>
      <c r="J27" s="156"/>
      <c r="K27" s="156"/>
      <c r="L27" s="156"/>
      <c r="M27" s="156"/>
      <c r="N27" s="308"/>
      <c r="O27" s="308"/>
      <c r="P27" s="308"/>
      <c r="Q27" s="308"/>
      <c r="R27" s="308"/>
      <c r="S27" s="308"/>
      <c r="T27" s="308"/>
      <c r="U27" s="308"/>
    </row>
    <row r="28" spans="1:21">
      <c r="A28" s="11">
        <v>23</v>
      </c>
      <c r="B28" s="38" t="s">
        <v>24</v>
      </c>
      <c r="C28" s="13">
        <v>8863</v>
      </c>
      <c r="D28" s="13">
        <v>7267</v>
      </c>
      <c r="E28" s="13">
        <v>9859</v>
      </c>
      <c r="F28" s="13">
        <v>6724</v>
      </c>
      <c r="G28" s="13">
        <v>9878</v>
      </c>
      <c r="H28" s="13">
        <v>8933</v>
      </c>
      <c r="I28" s="13">
        <v>8845</v>
      </c>
      <c r="J28" s="13">
        <v>5949.4</v>
      </c>
      <c r="K28" s="13">
        <v>5978</v>
      </c>
      <c r="L28" s="13">
        <v>5832</v>
      </c>
      <c r="M28" s="13">
        <v>7384</v>
      </c>
      <c r="N28" s="309">
        <v>6824</v>
      </c>
      <c r="O28" s="309">
        <v>4810</v>
      </c>
      <c r="P28" s="309"/>
      <c r="Q28" s="309"/>
      <c r="R28" s="309"/>
      <c r="S28" s="309"/>
      <c r="T28" s="309"/>
      <c r="U28" s="309"/>
    </row>
    <row r="29" spans="1:21">
      <c r="A29" s="53"/>
      <c r="B29" s="40"/>
      <c r="C29" s="16"/>
      <c r="D29" s="17"/>
      <c r="E29" s="16"/>
      <c r="F29" s="16"/>
      <c r="G29" s="148"/>
      <c r="H29" s="18"/>
      <c r="I29" s="18"/>
      <c r="J29" s="18"/>
      <c r="K29" s="18"/>
      <c r="L29" s="18"/>
      <c r="M29" s="18"/>
      <c r="N29" s="311"/>
      <c r="O29" s="311"/>
      <c r="P29" s="311"/>
      <c r="Q29" s="311"/>
      <c r="R29" s="311"/>
      <c r="S29" s="311"/>
      <c r="T29" s="311"/>
      <c r="U29" s="311"/>
    </row>
    <row r="30" spans="1:21">
      <c r="A30" s="11">
        <v>24</v>
      </c>
      <c r="B30" s="38" t="s">
        <v>25</v>
      </c>
      <c r="C30" s="13">
        <v>7158</v>
      </c>
      <c r="D30" s="13">
        <v>10110</v>
      </c>
      <c r="E30" s="13">
        <v>13826</v>
      </c>
      <c r="F30" s="13">
        <v>14278</v>
      </c>
      <c r="G30" s="13">
        <v>18130</v>
      </c>
      <c r="H30" s="13">
        <v>17630</v>
      </c>
      <c r="I30" s="13">
        <v>24021</v>
      </c>
      <c r="J30" s="13">
        <v>24626</v>
      </c>
      <c r="K30" s="13">
        <v>32337</v>
      </c>
      <c r="L30" s="13">
        <v>18651</v>
      </c>
      <c r="M30" s="13">
        <v>19136</v>
      </c>
      <c r="N30" s="309">
        <v>28661</v>
      </c>
      <c r="O30" s="309">
        <v>27125.599999999999</v>
      </c>
      <c r="P30" s="309">
        <v>20623.7</v>
      </c>
      <c r="Q30" s="309">
        <v>9673.0999999999985</v>
      </c>
      <c r="R30" s="309">
        <v>5616.9</v>
      </c>
      <c r="S30" s="309">
        <v>4880</v>
      </c>
      <c r="T30" s="309">
        <v>4604.6000000000004</v>
      </c>
      <c r="U30" s="309">
        <v>4092</v>
      </c>
    </row>
    <row r="31" spans="1:21">
      <c r="A31" s="44"/>
      <c r="B31" s="45"/>
      <c r="C31" s="164"/>
      <c r="D31" s="17"/>
      <c r="E31" s="16"/>
      <c r="F31" s="16"/>
      <c r="G31" s="13"/>
      <c r="H31" s="18"/>
      <c r="I31" s="18"/>
      <c r="J31" s="18"/>
      <c r="K31" s="18"/>
      <c r="L31" s="18"/>
      <c r="M31" s="18"/>
      <c r="N31" s="311"/>
      <c r="O31" s="311"/>
      <c r="P31" s="311"/>
      <c r="Q31" s="311"/>
      <c r="R31" s="311"/>
      <c r="S31" s="311"/>
      <c r="T31" s="311"/>
      <c r="U31" s="311"/>
    </row>
    <row r="32" spans="1:21">
      <c r="A32" s="54">
        <v>28</v>
      </c>
      <c r="B32" s="47" t="s">
        <v>26</v>
      </c>
      <c r="C32" s="13">
        <v>9524</v>
      </c>
      <c r="D32" s="13">
        <v>11491</v>
      </c>
      <c r="E32" s="13">
        <v>4960</v>
      </c>
      <c r="F32" s="13">
        <v>7488</v>
      </c>
      <c r="G32" s="13">
        <v>5965</v>
      </c>
      <c r="H32" s="13">
        <v>5889</v>
      </c>
      <c r="I32" s="13">
        <v>7239</v>
      </c>
      <c r="J32" s="13">
        <v>24308.2</v>
      </c>
      <c r="K32" s="13">
        <v>20051</v>
      </c>
      <c r="L32" s="13">
        <v>17656</v>
      </c>
      <c r="M32" s="13">
        <v>15269</v>
      </c>
      <c r="N32" s="309">
        <v>18303</v>
      </c>
      <c r="O32" s="309">
        <v>67458.5</v>
      </c>
      <c r="P32" s="309">
        <v>4708.3</v>
      </c>
      <c r="Q32" s="309">
        <v>5729.3</v>
      </c>
      <c r="R32" s="309">
        <v>6332.8</v>
      </c>
      <c r="S32" s="309">
        <v>5930</v>
      </c>
      <c r="T32" s="309">
        <v>6751.9</v>
      </c>
      <c r="U32" s="309">
        <v>6140.6</v>
      </c>
    </row>
    <row r="33" spans="1:21">
      <c r="A33" s="53"/>
      <c r="B33" s="40"/>
      <c r="C33" s="16"/>
      <c r="D33" s="17"/>
      <c r="E33" s="16"/>
      <c r="F33" s="16"/>
      <c r="G33" s="13"/>
      <c r="H33" s="18"/>
      <c r="I33" s="18"/>
      <c r="J33" s="18"/>
      <c r="K33" s="18"/>
      <c r="L33" s="18"/>
      <c r="M33" s="18"/>
      <c r="N33" s="311"/>
      <c r="O33" s="311"/>
      <c r="P33" s="311"/>
      <c r="Q33" s="311"/>
      <c r="R33" s="311"/>
      <c r="S33" s="311"/>
      <c r="T33" s="311"/>
      <c r="U33" s="311"/>
    </row>
    <row r="34" spans="1:21">
      <c r="A34" s="11">
        <v>29</v>
      </c>
      <c r="B34" s="38" t="s">
        <v>27</v>
      </c>
      <c r="C34" s="13">
        <v>16100</v>
      </c>
      <c r="D34" s="13">
        <v>17003</v>
      </c>
      <c r="E34" s="13">
        <v>17128</v>
      </c>
      <c r="F34" s="13">
        <v>13015</v>
      </c>
      <c r="G34" s="13">
        <v>11754</v>
      </c>
      <c r="H34" s="13">
        <v>140743</v>
      </c>
      <c r="I34" s="13">
        <v>80414</v>
      </c>
      <c r="J34" s="13">
        <v>47043.4</v>
      </c>
      <c r="K34" s="13">
        <v>57949</v>
      </c>
      <c r="L34" s="13">
        <v>70420</v>
      </c>
      <c r="M34" s="13">
        <v>75049</v>
      </c>
      <c r="N34" s="309">
        <v>69702</v>
      </c>
      <c r="O34" s="309">
        <v>47763.8</v>
      </c>
      <c r="P34" s="309">
        <v>85882.1</v>
      </c>
      <c r="Q34" s="309">
        <v>180363</v>
      </c>
      <c r="R34" s="309">
        <v>177252</v>
      </c>
      <c r="S34" s="309">
        <v>158861</v>
      </c>
      <c r="T34" s="309">
        <v>151237.4</v>
      </c>
      <c r="U34" s="309">
        <v>161337.1</v>
      </c>
    </row>
    <row r="35" spans="1:21">
      <c r="A35" s="41"/>
      <c r="B35" s="42"/>
      <c r="C35" s="56"/>
      <c r="D35" s="57"/>
      <c r="E35" s="56"/>
      <c r="F35" s="56"/>
      <c r="G35" s="56"/>
      <c r="H35" s="56"/>
      <c r="I35" s="18"/>
      <c r="J35" s="18"/>
      <c r="K35" s="18"/>
      <c r="L35" s="18"/>
      <c r="M35" s="18"/>
      <c r="N35" s="18"/>
      <c r="O35" s="18"/>
      <c r="P35" s="311"/>
      <c r="Q35" s="311"/>
      <c r="R35" s="311"/>
      <c r="S35" s="311"/>
      <c r="T35" s="311"/>
      <c r="U35" s="311"/>
    </row>
    <row r="36" spans="1:21">
      <c r="A36" s="170"/>
      <c r="B36" s="60"/>
      <c r="C36" s="171"/>
      <c r="D36" s="172"/>
      <c r="E36" s="171"/>
      <c r="F36" s="173"/>
      <c r="G36" s="174"/>
      <c r="H36" s="174"/>
      <c r="I36" s="174"/>
      <c r="J36" s="174"/>
      <c r="K36" s="174"/>
      <c r="L36" s="174"/>
      <c r="M36" s="174"/>
      <c r="N36" s="174"/>
      <c r="O36" s="174"/>
      <c r="P36" s="341"/>
      <c r="Q36" s="341"/>
      <c r="R36" s="341"/>
      <c r="S36" s="341"/>
      <c r="T36" s="341"/>
      <c r="U36" s="341"/>
    </row>
    <row r="37" spans="1:21">
      <c r="A37" s="66"/>
      <c r="B37" s="66"/>
      <c r="C37" s="65"/>
      <c r="D37" s="65"/>
      <c r="E37" s="65"/>
      <c r="F37" s="67"/>
      <c r="G37" s="65"/>
      <c r="H37" s="68"/>
      <c r="I37" s="65"/>
    </row>
  </sheetData>
  <sheetProtection selectLockedCells="1" sort="0" autoFilter="0" pivotTables="0"/>
  <phoneticPr fontId="0" type="noConversion"/>
  <pageMargins left="0.78740157480314965" right="0.55118110236220474" top="0.98425196850393704" bottom="0.98425196850393704" header="0.51181102362204722" footer="0.51181102362204722"/>
  <pageSetup paperSize="9" scale="45" orientation="landscape" r:id="rId1"/>
  <headerFooter alignWithMargins="0">
    <oddHeader>&amp;LFachgruppe für kantonale Finanzfragen (FkF)
Groupe d'études pour les finances cantonales&amp;CBilanzen der Kantone
Bilans des Cantons&amp;RZürich, 05.08.2019</oddHeader>
    <oddFooter>&amp;LQuelle: FkF August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vt:i4>
      </vt:variant>
    </vt:vector>
  </HeadingPairs>
  <TitlesOfParts>
    <vt:vector size="31" baseType="lpstr">
      <vt:lpstr>Alle</vt:lpstr>
      <vt:lpstr>AG</vt:lpstr>
      <vt:lpstr>NE</vt:lpstr>
      <vt:lpstr>SH</vt:lpstr>
      <vt:lpstr>VS</vt:lpstr>
      <vt:lpstr>AI</vt:lpstr>
      <vt:lpstr>BE</vt:lpstr>
      <vt:lpstr>SZ</vt:lpstr>
      <vt:lpstr>AR</vt:lpstr>
      <vt:lpstr>BL</vt:lpstr>
      <vt:lpstr>BS</vt:lpstr>
      <vt:lpstr>FR</vt:lpstr>
      <vt:lpstr>GE</vt:lpstr>
      <vt:lpstr>GL</vt:lpstr>
      <vt:lpstr>GR</vt:lpstr>
      <vt:lpstr>JU</vt:lpstr>
      <vt:lpstr>LU</vt:lpstr>
      <vt:lpstr>NW</vt:lpstr>
      <vt:lpstr>OW</vt:lpstr>
      <vt:lpstr>SG</vt:lpstr>
      <vt:lpstr>SO</vt:lpstr>
      <vt:lpstr>TG</vt:lpstr>
      <vt:lpstr>TI</vt:lpstr>
      <vt:lpstr>UR</vt:lpstr>
      <vt:lpstr>VD</vt:lpstr>
      <vt:lpstr>ZG</vt:lpstr>
      <vt:lpstr>ZH</vt:lpstr>
      <vt:lpstr>AG!Druckbereich</vt:lpstr>
      <vt:lpstr>AI!Druckbereich</vt:lpstr>
      <vt:lpstr>GE!Druckbereich</vt:lpstr>
      <vt:lpstr>ZH!Druckbereich</vt:lpstr>
    </vt:vector>
  </TitlesOfParts>
  <Company>FDFV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b150pcm</dc:creator>
  <cp:lastModifiedBy>CJ</cp:lastModifiedBy>
  <cp:lastPrinted>2019-08-05T13:29:51Z</cp:lastPrinted>
  <dcterms:created xsi:type="dcterms:W3CDTF">2006-06-14T14:55:59Z</dcterms:created>
  <dcterms:modified xsi:type="dcterms:W3CDTF">2019-08-05T13:31:52Z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A-Bilanz Kantone Alle-Basis HRM1.xlsx</vt:lpwstr>
  </property>
</Properties>
</file>