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backupFile="1" codeName="DieseArbeitsmappe" defaultThemeVersion="124226"/>
  <bookViews>
    <workbookView xWindow="-15" yWindow="6690" windowWidth="28590" windowHeight="6750" tabRatio="870" firstSheet="28" activeTab="39"/>
  </bookViews>
  <sheets>
    <sheet name="ZH HRM2" sheetId="62" r:id="rId1"/>
    <sheet name="BE HRM1" sheetId="13" r:id="rId2"/>
    <sheet name="LU HRM2" sheetId="52" r:id="rId3"/>
    <sheet name="UR HRM2" sheetId="59" r:id="rId4"/>
    <sheet name="SZ HRM1" sheetId="16" r:id="rId5"/>
    <sheet name="OW HRM2" sheetId="53" r:id="rId6"/>
    <sheet name="NW HRM2" sheetId="54" r:id="rId7"/>
    <sheet name="GL HRM2" sheetId="49" r:id="rId8"/>
    <sheet name="ZG HRM2" sheetId="61" r:id="rId9"/>
    <sheet name="FR HRM2" sheetId="47" r:id="rId10"/>
    <sheet name="SO HRM2" sheetId="56" r:id="rId11"/>
    <sheet name="BS HRM2" sheetId="46" r:id="rId12"/>
    <sheet name="BL HRM2" sheetId="45" r:id="rId13"/>
    <sheet name="SH HRM1" sheetId="25" r:id="rId14"/>
    <sheet name="AR HRM2" sheetId="44" r:id="rId15"/>
    <sheet name="AI HRM1" sheetId="27" r:id="rId16"/>
    <sheet name="AI HRM2" sheetId="43" r:id="rId17"/>
    <sheet name="Sg HRM1" sheetId="28" r:id="rId18"/>
    <sheet name="SG HRM2" sheetId="55" r:id="rId19"/>
    <sheet name="GR HRM2" sheetId="50" r:id="rId20"/>
    <sheet name="AG HRM1" sheetId="30" r:id="rId21"/>
    <sheet name="AG HRM2" sheetId="42" r:id="rId22"/>
    <sheet name="TG HRM2" sheetId="57" r:id="rId23"/>
    <sheet name="TI HRM1" sheetId="32" r:id="rId24"/>
    <sheet name="TI HRM2" sheetId="58" r:id="rId25"/>
    <sheet name="VD HRM1" sheetId="33" r:id="rId26"/>
    <sheet name="VD HRM2" sheetId="60" r:id="rId27"/>
    <sheet name="VS HRM1" sheetId="34" r:id="rId28"/>
    <sheet name="NE HRM1" sheetId="35" r:id="rId29"/>
    <sheet name="GE HRM2" sheetId="48" r:id="rId30"/>
    <sheet name="JU HRM2" sheetId="51" r:id="rId31"/>
    <sheet name="Ergebnisse Rechnung 2013" sheetId="2" r:id="rId32"/>
    <sheet name="Ergebnisse Budgets 2014" sheetId="7" r:id="rId33"/>
    <sheet name="Ergebnisse Rechnung 2014" sheetId="6" r:id="rId34"/>
    <sheet name="Budget 2015" sheetId="40" r:id="rId35"/>
    <sheet name="Übersicht Saldo L. R. " sheetId="9" r:id="rId36"/>
    <sheet name="Finanzierungsfehlbetrag" sheetId="10" r:id="rId37"/>
    <sheet name="Selbstfinanzierungsgrad" sheetId="11" r:id="rId38"/>
    <sheet name="CHF" sheetId="64" r:id="rId39"/>
    <sheet name="CHD" sheetId="65" r:id="rId40"/>
  </sheets>
  <externalReferences>
    <externalReference r:id="rId41"/>
  </externalReferences>
  <definedNames>
    <definedName name="_xlnm._FilterDatabase" localSheetId="21" hidden="1">'AG HRM2'!$A$1:$G$79</definedName>
    <definedName name="_xlnm._FilterDatabase" localSheetId="29" hidden="1">'GE HRM2'!$A$1:$G$1</definedName>
    <definedName name="_xlnm._FilterDatabase" localSheetId="19" hidden="1">'GR HRM2'!$A$1:$G$1</definedName>
    <definedName name="_xlnm._FilterDatabase" localSheetId="18" hidden="1">'SG HRM2'!$A$1:$G$1</definedName>
    <definedName name="_xlnm._FilterDatabase" localSheetId="10" hidden="1">'SO HRM2'!$A$1:$G$79</definedName>
    <definedName name="_xlnm._FilterDatabase" localSheetId="22" hidden="1">'TG HRM2'!$A$1:$AK$1</definedName>
    <definedName name="_xlnm._FilterDatabase" localSheetId="24" hidden="1">'TI HRM2'!$A$1:$G$1</definedName>
    <definedName name="_xlnm._FilterDatabase" localSheetId="3" hidden="1">'UR HRM2'!$A$1:$G$1</definedName>
    <definedName name="_xlnm._FilterDatabase" localSheetId="8" hidden="1">'ZG HRM2'!$A$1:$G$1</definedName>
    <definedName name="_xlnm._FilterDatabase" localSheetId="0" hidden="1">'ZH HRM2'!$A$1:$G$79</definedName>
    <definedName name="Abschluss_d" localSheetId="32">'Ergebnisse Budgets 2014'!$A$3:$E$37</definedName>
    <definedName name="Abschluss_d" localSheetId="33">'Ergebnisse Rechnung 2014'!$A$3:$E$37</definedName>
    <definedName name="Abschluss_d" localSheetId="36">Finanzierungsfehlbetrag!$A$2:$E$35</definedName>
    <definedName name="Abschluss_d" localSheetId="37">Selbstfinanzierungsgrad!$A$2:$E$34</definedName>
    <definedName name="Abschluss_d" localSheetId="35">'Übersicht Saldo L. R. '!$A$2:$E$35</definedName>
    <definedName name="Abschluss_d">'Ergebnisse Rechnung 2013'!$A$3:$E$37</definedName>
    <definedName name="Abschluss_f" localSheetId="39">'[1]Ergebnisse Rechnung 2013'!#REF!</definedName>
    <definedName name="Abschluss_f" localSheetId="38">'[1]Ergebnisse Rechnung 2013'!#REF!</definedName>
    <definedName name="Abschluss_f" localSheetId="32">'Ergebnisse Budgets 2014'!#REF!</definedName>
    <definedName name="Abschluss_f" localSheetId="33">'Ergebnisse Rechnung 2014'!#REF!</definedName>
    <definedName name="Abschluss_f" localSheetId="36">Finanzierungsfehlbetrag!$I$2:$N$35</definedName>
    <definedName name="Abschluss_f" localSheetId="37">Selbstfinanzierungsgrad!$I$2:$N$34</definedName>
    <definedName name="Abschluss_f" localSheetId="35">'Übersicht Saldo L. R. '!$I$2:$N$35</definedName>
    <definedName name="Abschluss_f">'Ergebnisse Rechnung 2013'!#REF!</definedName>
    <definedName name="AG" localSheetId="39">#REF!</definedName>
    <definedName name="AG" localSheetId="38">#REF!</definedName>
    <definedName name="AG">#REF!</definedName>
    <definedName name="AI" localSheetId="39">#REF!</definedName>
    <definedName name="AI" localSheetId="38">#REF!</definedName>
    <definedName name="AI">#REF!</definedName>
    <definedName name="AR" localSheetId="39">#REF!</definedName>
    <definedName name="AR" localSheetId="38">#REF!</definedName>
    <definedName name="AR">#REF!</definedName>
    <definedName name="BE" localSheetId="39">#REF!</definedName>
    <definedName name="BE" localSheetId="38">#REF!</definedName>
    <definedName name="BE">#REF!</definedName>
    <definedName name="BL" localSheetId="39">#REF!</definedName>
    <definedName name="BL" localSheetId="38">#REF!</definedName>
    <definedName name="BL">#REF!</definedName>
    <definedName name="BS" localSheetId="39">#REF!</definedName>
    <definedName name="BS" localSheetId="38">#REF!</definedName>
    <definedName name="BS">#REF!</definedName>
    <definedName name="CH" localSheetId="39">#REF!</definedName>
    <definedName name="CH" localSheetId="38">#REF!</definedName>
    <definedName name="CH">#REF!</definedName>
    <definedName name="CHF" localSheetId="39">#REF!</definedName>
    <definedName name="CHF" localSheetId="38">#REF!</definedName>
    <definedName name="CHF">#REF!</definedName>
    <definedName name="_xlnm.Print_Area" localSheetId="34">'Budget 2015'!$A$1:$F$38</definedName>
    <definedName name="_xlnm.Print_Area" localSheetId="39">CHD!$A$1:$I$43</definedName>
    <definedName name="_xlnm.Print_Area" localSheetId="38">CHF!$A$1:$I$43</definedName>
    <definedName name="_xlnm.Print_Area" localSheetId="32">'Ergebnisse Budgets 2014'!$A$1:$F$38</definedName>
    <definedName name="_xlnm.Print_Area" localSheetId="31">'Ergebnisse Rechnung 2013'!$A$1:$F$38</definedName>
    <definedName name="_xlnm.Print_Area" localSheetId="33">'Ergebnisse Rechnung 2014'!$A$1:$F$38</definedName>
    <definedName name="_xlnm.Print_Area" localSheetId="36">Finanzierungsfehlbetrag!$A$1:$G$34</definedName>
    <definedName name="_xlnm.Print_Area" localSheetId="37">Selbstfinanzierungsgrad!$A$1:$G$36</definedName>
    <definedName name="_xlnm.Print_Area" localSheetId="35">'Übersicht Saldo L. R. '!$A$1:$G$34</definedName>
    <definedName name="_xlnm.Print_Area" localSheetId="0">'ZH HRM2'!$A$1:$G$186</definedName>
    <definedName name="_xlnm.Print_Titles" localSheetId="21">'AG HRM2'!$1:$2</definedName>
    <definedName name="_xlnm.Print_Titles" localSheetId="16">'AI HRM2'!$A:$C,'AI HRM2'!$1:$2</definedName>
    <definedName name="_xlnm.Print_Titles" localSheetId="14">'AR HRM2'!$1:$2</definedName>
    <definedName name="_xlnm.Print_Titles" localSheetId="12">'BL HRM2'!$1:$2</definedName>
    <definedName name="_xlnm.Print_Titles" localSheetId="11">'BS HRM2'!$1:$2</definedName>
    <definedName name="_xlnm.Print_Titles" localSheetId="9">'FR HRM2'!$1:$2</definedName>
    <definedName name="_xlnm.Print_Titles" localSheetId="29">'GE HRM2'!$1:$2</definedName>
    <definedName name="_xlnm.Print_Titles" localSheetId="7">'GL HRM2'!$1:$2</definedName>
    <definedName name="_xlnm.Print_Titles" localSheetId="19">'GR HRM2'!$1:$2</definedName>
    <definedName name="_xlnm.Print_Titles" localSheetId="30">'JU HRM2'!$1:$2</definedName>
    <definedName name="_xlnm.Print_Titles" localSheetId="2">'LU HRM2'!$1:$2</definedName>
    <definedName name="_xlnm.Print_Titles" localSheetId="6">'NW HRM2'!$1:$2</definedName>
    <definedName name="_xlnm.Print_Titles" localSheetId="5">'OW HRM2'!$1:$2</definedName>
    <definedName name="_xlnm.Print_Titles" localSheetId="18">'SG HRM2'!$1:$2</definedName>
    <definedName name="_xlnm.Print_Titles" localSheetId="10">'SO HRM2'!$1:$2</definedName>
    <definedName name="_xlnm.Print_Titles" localSheetId="22">'TG HRM2'!$1:$2</definedName>
    <definedName name="_xlnm.Print_Titles" localSheetId="24">'TI HRM2'!$1:$2</definedName>
    <definedName name="_xlnm.Print_Titles" localSheetId="3">'UR HRM2'!$1:$2</definedName>
    <definedName name="_xlnm.Print_Titles" localSheetId="26">'VD HRM2'!$1:$2</definedName>
    <definedName name="_xlnm.Print_Titles" localSheetId="8">'ZG HRM2'!$1:$2</definedName>
    <definedName name="_xlnm.Print_Titles" localSheetId="0">'ZH HRM2'!$A:$C,'ZH HRM2'!$1:$2</definedName>
    <definedName name="Dtext" localSheetId="39">#REF!</definedName>
    <definedName name="Dtext" localSheetId="38">#REF!</definedName>
    <definedName name="Dtext">#REF!</definedName>
    <definedName name="find">Finanzierungsfehlbetrag!$A$1:$F$33</definedName>
    <definedName name="FR" localSheetId="39">#REF!</definedName>
    <definedName name="FR" localSheetId="38">#REF!</definedName>
    <definedName name="FR">#REF!</definedName>
    <definedName name="Ftext" localSheetId="39">#REF!</definedName>
    <definedName name="Ftext" localSheetId="38">#REF!</definedName>
    <definedName name="Ftext">#REF!</definedName>
    <definedName name="GE" localSheetId="39">#REF!</definedName>
    <definedName name="GE" localSheetId="38">#REF!</definedName>
    <definedName name="GE">#REF!</definedName>
    <definedName name="GL" localSheetId="39">#REF!</definedName>
    <definedName name="GL" localSheetId="38">#REF!</definedName>
    <definedName name="GL">#REF!</definedName>
    <definedName name="GR" localSheetId="39">#REF!</definedName>
    <definedName name="GR" localSheetId="38">#REF!</definedName>
    <definedName name="GR">#REF!</definedName>
    <definedName name="JU" localSheetId="39">#REF!</definedName>
    <definedName name="JU" localSheetId="38">#REF!</definedName>
    <definedName name="JU">#REF!</definedName>
    <definedName name="Kanton" localSheetId="39">#REF!</definedName>
    <definedName name="Kanton" localSheetId="38">#REF!</definedName>
    <definedName name="Kanton">#REF!</definedName>
    <definedName name="kantone" localSheetId="39">#REF!</definedName>
    <definedName name="kantone" localSheetId="38">#REF!</definedName>
    <definedName name="kantone" localSheetId="36">#REF!</definedName>
    <definedName name="kantone" localSheetId="37">#REF!</definedName>
    <definedName name="kantone" localSheetId="35">#REF!</definedName>
    <definedName name="kantone">#REF!</definedName>
    <definedName name="LR" localSheetId="39">#REF!</definedName>
    <definedName name="LR" localSheetId="38">#REF!</definedName>
    <definedName name="LR" localSheetId="36">#REF!</definedName>
    <definedName name="LR" localSheetId="37">#REF!</definedName>
    <definedName name="LR">#REF!</definedName>
    <definedName name="LRd">'Übersicht Saldo L. R. '!$A$1:$F$33</definedName>
    <definedName name="LU" localSheetId="39">#REF!</definedName>
    <definedName name="LU" localSheetId="38">#REF!</definedName>
    <definedName name="LU">#REF!</definedName>
    <definedName name="md" localSheetId="39">#REF!</definedName>
    <definedName name="md" localSheetId="38">#REF!</definedName>
    <definedName name="md">#REF!</definedName>
    <definedName name="mf" localSheetId="39">#REF!</definedName>
    <definedName name="mf" localSheetId="38">#REF!</definedName>
    <definedName name="mf">#REF!</definedName>
    <definedName name="Name" localSheetId="39">#REF!</definedName>
    <definedName name="Name" localSheetId="38">#REF!</definedName>
    <definedName name="Name">#REF!</definedName>
    <definedName name="Nameeinf" localSheetId="36">#REF!</definedName>
    <definedName name="Nameeinf" localSheetId="37">#REF!</definedName>
    <definedName name="NE" localSheetId="39">#REF!</definedName>
    <definedName name="NE" localSheetId="38">#REF!</definedName>
    <definedName name="NE">#REF!</definedName>
    <definedName name="NW" localSheetId="39">#REF!</definedName>
    <definedName name="NW" localSheetId="38">#REF!</definedName>
    <definedName name="NW">#REF!</definedName>
    <definedName name="od">'Ergebnisse Rechnung 2014'!$A$3:$E$36</definedName>
    <definedName name="of" localSheetId="39">'[1]Ergebnisse Rechnung 2014'!#REF!</definedName>
    <definedName name="of" localSheetId="38">'[1]Ergebnisse Rechnung 2014'!#REF!</definedName>
    <definedName name="of">'Ergebnisse Rechnung 2014'!#REF!</definedName>
    <definedName name="OW" localSheetId="39">#REF!</definedName>
    <definedName name="OW" localSheetId="38">#REF!</definedName>
    <definedName name="OW">#REF!</definedName>
    <definedName name="qd">'Ergebnisse Rechnung 2013'!$A$3:$E$36</definedName>
    <definedName name="qf" localSheetId="39">'[1]Ergebnisse Rechnung 2013'!#REF!</definedName>
    <definedName name="qf" localSheetId="38">'[1]Ergebnisse Rechnung 2013'!#REF!</definedName>
    <definedName name="qf">'Ergebnisse Rechnung 2013'!#REF!</definedName>
    <definedName name="sd">'Ergebnisse Budgets 2014'!$A$3:$E$36</definedName>
    <definedName name="sf" localSheetId="39">'[1]Ergebnisse Budgets 2014'!#REF!</definedName>
    <definedName name="sf" localSheetId="38">'[1]Ergebnisse Budgets 2014'!#REF!</definedName>
    <definedName name="sf">'Ergebnisse Budgets 2014'!#REF!</definedName>
    <definedName name="SF_GradR" localSheetId="39">#REF!</definedName>
    <definedName name="SF_GradR" localSheetId="38">#REF!</definedName>
    <definedName name="SF_GradR" localSheetId="32">'Ergebnisse Budgets 2014'!$A$3:$E$37</definedName>
    <definedName name="SF_GradR" localSheetId="31">'Ergebnisse Rechnung 2013'!$A$3:$E$37</definedName>
    <definedName name="SF_GradR" localSheetId="33">'Ergebnisse Rechnung 2014'!$A$3:$E$37</definedName>
    <definedName name="SF_GradR" localSheetId="36">Finanzierungsfehlbetrag!$A$2:$E$35</definedName>
    <definedName name="SF_GradR" localSheetId="37">Selbstfinanzierungsgrad!$A$2:$E$34</definedName>
    <definedName name="SF_GradR" localSheetId="35">'Übersicht Saldo L. R. '!$A$2:$E$35</definedName>
    <definedName name="SF_GradR">#REF!</definedName>
    <definedName name="SFd">Selbstfinanzierungsgrad!$A$1:$F$32</definedName>
    <definedName name="SFmitohne" localSheetId="36">#REF!</definedName>
    <definedName name="SFmitohne" localSheetId="37">#REF!</definedName>
    <definedName name="SG" localSheetId="39">#REF!</definedName>
    <definedName name="SG" localSheetId="38">#REF!</definedName>
    <definedName name="SG">#REF!</definedName>
    <definedName name="SH" localSheetId="39">#REF!</definedName>
    <definedName name="SH" localSheetId="38">#REF!</definedName>
    <definedName name="SH">#REF!</definedName>
    <definedName name="so" localSheetId="39">#REF!</definedName>
    <definedName name="so" localSheetId="38">#REF!</definedName>
    <definedName name="so">#REF!</definedName>
    <definedName name="sotxt" localSheetId="39">#REF!</definedName>
    <definedName name="sotxt" localSheetId="38">#REF!</definedName>
    <definedName name="sotxt">#REF!</definedName>
    <definedName name="SZ" localSheetId="39">#REF!</definedName>
    <definedName name="SZ" localSheetId="38">#REF!</definedName>
    <definedName name="SZ">#REF!</definedName>
    <definedName name="Text" localSheetId="36">#REF!</definedName>
    <definedName name="Text" localSheetId="37">#REF!</definedName>
    <definedName name="TG" localSheetId="39">#REF!</definedName>
    <definedName name="TG" localSheetId="38">#REF!</definedName>
    <definedName name="TG">#REF!</definedName>
    <definedName name="TI" localSheetId="39">#REF!</definedName>
    <definedName name="TI" localSheetId="38">#REF!</definedName>
    <definedName name="TI">#REF!</definedName>
    <definedName name="Umfrage" localSheetId="36">#REF!</definedName>
    <definedName name="Umfrage" localSheetId="37">#REF!</definedName>
    <definedName name="UR" localSheetId="39">#REF!</definedName>
    <definedName name="UR" localSheetId="38">#REF!</definedName>
    <definedName name="UR">#REF!</definedName>
    <definedName name="VD" localSheetId="39">#REF!</definedName>
    <definedName name="VD" localSheetId="38">#REF!</definedName>
    <definedName name="VD">#REF!</definedName>
    <definedName name="Verweis" localSheetId="36">#REF!</definedName>
    <definedName name="Verweis" localSheetId="37">#REF!</definedName>
    <definedName name="VS" localSheetId="39">#REF!</definedName>
    <definedName name="VS" localSheetId="38">#REF!</definedName>
    <definedName name="VS">#REF!</definedName>
    <definedName name="ZG" localSheetId="39">#REF!</definedName>
    <definedName name="ZG" localSheetId="38">#REF!</definedName>
    <definedName name="ZG">#REF!</definedName>
    <definedName name="ZH" localSheetId="39">#REF!</definedName>
    <definedName name="ZH" localSheetId="38">#REF!</definedName>
    <definedName name="ZH">#REF!</definedName>
    <definedName name="ZIANT" localSheetId="36">#REF!</definedName>
    <definedName name="ZIANT" localSheetId="37">#REF!</definedName>
  </definedNames>
  <calcPr calcId="145621"/>
</workbook>
</file>

<file path=xl/calcChain.xml><?xml version="1.0" encoding="utf-8"?>
<calcChain xmlns="http://schemas.openxmlformats.org/spreadsheetml/2006/main">
  <c r="D34" i="40" l="1"/>
  <c r="C34" i="40"/>
  <c r="B34" i="40"/>
  <c r="D34" i="7"/>
  <c r="C34" i="7"/>
  <c r="B34" i="7"/>
  <c r="D34" i="2"/>
  <c r="C34" i="2"/>
  <c r="B34" i="2"/>
  <c r="D34" i="6"/>
  <c r="C34" i="6"/>
  <c r="B34" i="6"/>
  <c r="D16" i="62" l="1"/>
  <c r="D21" i="62"/>
  <c r="D78" i="62" s="1"/>
  <c r="D178" i="62" s="1"/>
  <c r="E21" i="62"/>
  <c r="F21" i="62"/>
  <c r="G21" i="62"/>
  <c r="D22" i="62"/>
  <c r="E22" i="62"/>
  <c r="E36" i="62" s="1"/>
  <c r="D23" i="62"/>
  <c r="D36" i="62" s="1"/>
  <c r="E23" i="62"/>
  <c r="F36" i="62"/>
  <c r="G36" i="62"/>
  <c r="G79" i="62" s="1"/>
  <c r="D55" i="62"/>
  <c r="D166" i="62" s="1"/>
  <c r="E55" i="62"/>
  <c r="E166" i="62" s="1"/>
  <c r="F55" i="62"/>
  <c r="G55" i="62"/>
  <c r="D76" i="62"/>
  <c r="E76" i="62"/>
  <c r="F76" i="62"/>
  <c r="G76" i="62"/>
  <c r="E78" i="62"/>
  <c r="E178" i="62" s="1"/>
  <c r="F79" i="62"/>
  <c r="D95" i="62"/>
  <c r="E95" i="62"/>
  <c r="F95" i="62"/>
  <c r="G95" i="62"/>
  <c r="D106" i="62"/>
  <c r="E106" i="62"/>
  <c r="F106" i="62"/>
  <c r="G106" i="62"/>
  <c r="G107" i="62" s="1"/>
  <c r="G108" i="62" s="1"/>
  <c r="D107" i="62"/>
  <c r="D108" i="62" s="1"/>
  <c r="E112" i="62"/>
  <c r="F112" i="62"/>
  <c r="G112" i="62"/>
  <c r="D113" i="62"/>
  <c r="D112" i="62" s="1"/>
  <c r="D117" i="62"/>
  <c r="E117" i="62"/>
  <c r="F117" i="62"/>
  <c r="G117" i="62"/>
  <c r="E121" i="62"/>
  <c r="F121" i="62"/>
  <c r="F159" i="62" s="1"/>
  <c r="F161" i="62" s="1"/>
  <c r="G121" i="62"/>
  <c r="D122" i="62"/>
  <c r="D123" i="62"/>
  <c r="D134" i="62"/>
  <c r="E134" i="62"/>
  <c r="F134" i="62"/>
  <c r="G134" i="62"/>
  <c r="D140" i="62"/>
  <c r="E140" i="62"/>
  <c r="F140" i="62"/>
  <c r="G140" i="62"/>
  <c r="D156" i="62"/>
  <c r="E156" i="62"/>
  <c r="F156" i="62"/>
  <c r="G156" i="62"/>
  <c r="E159" i="62"/>
  <c r="E161" i="62" s="1"/>
  <c r="G159" i="62"/>
  <c r="G161" i="62" s="1"/>
  <c r="D163" i="62"/>
  <c r="E163" i="62"/>
  <c r="F163" i="62"/>
  <c r="G163" i="62"/>
  <c r="D168" i="62"/>
  <c r="E168" i="62"/>
  <c r="F168" i="62"/>
  <c r="G168" i="62"/>
  <c r="D170" i="62"/>
  <c r="E170" i="62"/>
  <c r="F170" i="62"/>
  <c r="G170" i="62"/>
  <c r="D171" i="62"/>
  <c r="E171" i="62"/>
  <c r="F171" i="62"/>
  <c r="G171" i="62"/>
  <c r="F177" i="62"/>
  <c r="G177" i="62"/>
  <c r="G157" i="62" s="1"/>
  <c r="D180" i="62"/>
  <c r="E180" i="62"/>
  <c r="F180" i="62"/>
  <c r="G180" i="62"/>
  <c r="F181" i="62"/>
  <c r="G181" i="62"/>
  <c r="G182" i="62" s="1"/>
  <c r="D183" i="62"/>
  <c r="E183" i="62"/>
  <c r="F183" i="62"/>
  <c r="G183" i="62"/>
  <c r="F185" i="62"/>
  <c r="D21" i="61"/>
  <c r="E21" i="61"/>
  <c r="E78" i="61" s="1"/>
  <c r="E178" i="61" s="1"/>
  <c r="F21" i="61"/>
  <c r="G21" i="61"/>
  <c r="D36" i="61"/>
  <c r="D79" i="61" s="1"/>
  <c r="E36" i="61"/>
  <c r="F36" i="61"/>
  <c r="F79" i="61" s="1"/>
  <c r="G36" i="61"/>
  <c r="F37" i="61"/>
  <c r="G37" i="61"/>
  <c r="D55" i="61"/>
  <c r="D166" i="61" s="1"/>
  <c r="E55" i="61"/>
  <c r="F55" i="61"/>
  <c r="F56" i="61" s="1"/>
  <c r="G55" i="61"/>
  <c r="G166" i="61" s="1"/>
  <c r="D76" i="61"/>
  <c r="E76" i="61"/>
  <c r="F76" i="61"/>
  <c r="G76" i="61"/>
  <c r="F78" i="61"/>
  <c r="F178" i="61" s="1"/>
  <c r="F164" i="61" s="1"/>
  <c r="G78" i="61"/>
  <c r="G178" i="61" s="1"/>
  <c r="G79" i="61"/>
  <c r="D95" i="61"/>
  <c r="E95" i="61"/>
  <c r="F95" i="61"/>
  <c r="G95" i="61"/>
  <c r="D106" i="61"/>
  <c r="D107" i="61" s="1"/>
  <c r="D108" i="61" s="1"/>
  <c r="E106" i="61"/>
  <c r="F106" i="61"/>
  <c r="G106" i="61"/>
  <c r="D112" i="61"/>
  <c r="E112" i="61"/>
  <c r="G112" i="61"/>
  <c r="F113" i="61"/>
  <c r="F112" i="61" s="1"/>
  <c r="D117" i="61"/>
  <c r="E117" i="61"/>
  <c r="F117" i="61"/>
  <c r="G117" i="61"/>
  <c r="D121" i="61"/>
  <c r="E121" i="61"/>
  <c r="E159" i="61" s="1"/>
  <c r="E161" i="61" s="1"/>
  <c r="F121" i="61"/>
  <c r="F159" i="61" s="1"/>
  <c r="F161" i="61" s="1"/>
  <c r="G121" i="61"/>
  <c r="G159" i="61" s="1"/>
  <c r="G161" i="61" s="1"/>
  <c r="D134" i="61"/>
  <c r="E134" i="61"/>
  <c r="F134" i="61"/>
  <c r="G134" i="61"/>
  <c r="D140" i="61"/>
  <c r="E140" i="61"/>
  <c r="F140" i="61"/>
  <c r="G140" i="61"/>
  <c r="D156" i="61"/>
  <c r="E156" i="61"/>
  <c r="F156" i="61"/>
  <c r="G156" i="61"/>
  <c r="D159" i="61"/>
  <c r="D161" i="61" s="1"/>
  <c r="D163" i="61"/>
  <c r="E163" i="61"/>
  <c r="F163" i="61"/>
  <c r="G163" i="61"/>
  <c r="E166" i="61"/>
  <c r="F166" i="61"/>
  <c r="D168" i="61"/>
  <c r="E168" i="61"/>
  <c r="F168" i="61"/>
  <c r="G168" i="61"/>
  <c r="D170" i="61"/>
  <c r="E170" i="61"/>
  <c r="F170" i="61"/>
  <c r="G170" i="61"/>
  <c r="D171" i="61"/>
  <c r="E171" i="61"/>
  <c r="F171" i="61"/>
  <c r="F182" i="61" s="1"/>
  <c r="G171" i="61"/>
  <c r="D177" i="61"/>
  <c r="E177" i="61"/>
  <c r="F177" i="61"/>
  <c r="G177" i="61"/>
  <c r="D180" i="61"/>
  <c r="E180" i="61"/>
  <c r="F180" i="61"/>
  <c r="G180" i="61"/>
  <c r="D181" i="61"/>
  <c r="D182" i="61" s="1"/>
  <c r="E181" i="61"/>
  <c r="F181" i="61"/>
  <c r="G181" i="61"/>
  <c r="D183" i="61"/>
  <c r="E183" i="61"/>
  <c r="F183" i="61"/>
  <c r="G183" i="61"/>
  <c r="D185" i="61"/>
  <c r="D21" i="60"/>
  <c r="E21" i="60"/>
  <c r="F21" i="60"/>
  <c r="G21" i="60"/>
  <c r="G78" i="60" s="1"/>
  <c r="D36" i="60"/>
  <c r="E36" i="60"/>
  <c r="F36" i="60"/>
  <c r="F79" i="60" s="1"/>
  <c r="G36" i="60"/>
  <c r="D55" i="60"/>
  <c r="D166" i="60" s="1"/>
  <c r="E55" i="60"/>
  <c r="E166" i="60" s="1"/>
  <c r="F55" i="60"/>
  <c r="F166" i="60" s="1"/>
  <c r="G55" i="60"/>
  <c r="D76" i="60"/>
  <c r="E76" i="60"/>
  <c r="F76" i="60"/>
  <c r="G76" i="60"/>
  <c r="D78" i="60"/>
  <c r="D178" i="60" s="1"/>
  <c r="E78" i="60"/>
  <c r="E178" i="60" s="1"/>
  <c r="E79" i="60"/>
  <c r="D95" i="60"/>
  <c r="E95" i="60"/>
  <c r="F95" i="60"/>
  <c r="G95" i="60"/>
  <c r="D106" i="60"/>
  <c r="E106" i="60"/>
  <c r="F106" i="60"/>
  <c r="G106" i="60"/>
  <c r="G107" i="60" s="1"/>
  <c r="G108" i="60" s="1"/>
  <c r="D112" i="60"/>
  <c r="E112" i="60"/>
  <c r="F112" i="60"/>
  <c r="G112" i="60"/>
  <c r="D117" i="60"/>
  <c r="E117" i="60"/>
  <c r="F117" i="60"/>
  <c r="F111" i="60" s="1"/>
  <c r="G117" i="60"/>
  <c r="D121" i="60"/>
  <c r="E121" i="60"/>
  <c r="E159" i="60" s="1"/>
  <c r="E161" i="60" s="1"/>
  <c r="F121" i="60"/>
  <c r="F159" i="60" s="1"/>
  <c r="G121" i="60"/>
  <c r="G159" i="60" s="1"/>
  <c r="G161" i="60" s="1"/>
  <c r="D134" i="60"/>
  <c r="E134" i="60"/>
  <c r="F134" i="60"/>
  <c r="F133" i="60" s="1"/>
  <c r="G134" i="60"/>
  <c r="D140" i="60"/>
  <c r="E140" i="60"/>
  <c r="F140" i="60"/>
  <c r="G140" i="60"/>
  <c r="D156" i="60"/>
  <c r="E156" i="60"/>
  <c r="F156" i="60"/>
  <c r="G156" i="60"/>
  <c r="D159" i="60"/>
  <c r="D160" i="60"/>
  <c r="D161" i="60"/>
  <c r="F161" i="60"/>
  <c r="D162" i="60"/>
  <c r="D163" i="60"/>
  <c r="E163" i="60"/>
  <c r="F163" i="60"/>
  <c r="G163" i="60"/>
  <c r="D168" i="60"/>
  <c r="E168" i="60"/>
  <c r="F168" i="60"/>
  <c r="G168" i="60"/>
  <c r="D170" i="60"/>
  <c r="E170" i="60"/>
  <c r="E184" i="60" s="1"/>
  <c r="F170" i="60"/>
  <c r="G170" i="60"/>
  <c r="D171" i="60"/>
  <c r="E171" i="60"/>
  <c r="F171" i="60"/>
  <c r="G171" i="60"/>
  <c r="D177" i="60"/>
  <c r="D157" i="60" s="1"/>
  <c r="E177" i="60"/>
  <c r="F177" i="60"/>
  <c r="G177" i="60"/>
  <c r="G178" i="60"/>
  <c r="D180" i="60"/>
  <c r="E180" i="60"/>
  <c r="F180" i="60"/>
  <c r="G180" i="60"/>
  <c r="D181" i="60"/>
  <c r="D182" i="60" s="1"/>
  <c r="E181" i="60"/>
  <c r="F181" i="60"/>
  <c r="G181" i="60"/>
  <c r="D183" i="60"/>
  <c r="E183" i="60"/>
  <c r="F183" i="60"/>
  <c r="F185" i="60" s="1"/>
  <c r="G183" i="60"/>
  <c r="G184" i="60" s="1"/>
  <c r="G172" i="60" s="1"/>
  <c r="D21" i="59"/>
  <c r="E21" i="59"/>
  <c r="E78" i="59" s="1"/>
  <c r="E178" i="59" s="1"/>
  <c r="F21" i="59"/>
  <c r="F78" i="59" s="1"/>
  <c r="F178" i="59" s="1"/>
  <c r="G21" i="59"/>
  <c r="G78" i="59" s="1"/>
  <c r="D22" i="59"/>
  <c r="E22" i="59"/>
  <c r="E177" i="59" s="1"/>
  <c r="F22" i="59"/>
  <c r="G22" i="59"/>
  <c r="D23" i="59"/>
  <c r="E23" i="59"/>
  <c r="F23" i="59"/>
  <c r="G23" i="59"/>
  <c r="D36" i="59"/>
  <c r="D55" i="59"/>
  <c r="E55" i="59"/>
  <c r="E166" i="59" s="1"/>
  <c r="F55" i="59"/>
  <c r="G55" i="59"/>
  <c r="G166" i="59" s="1"/>
  <c r="D76" i="59"/>
  <c r="E76" i="59"/>
  <c r="F76" i="59"/>
  <c r="G76" i="59"/>
  <c r="D78" i="59"/>
  <c r="D178" i="59" s="1"/>
  <c r="D95" i="59"/>
  <c r="E95" i="59"/>
  <c r="F95" i="59"/>
  <c r="F107" i="59" s="1"/>
  <c r="F108" i="59" s="1"/>
  <c r="G95" i="59"/>
  <c r="D106" i="59"/>
  <c r="E106" i="59"/>
  <c r="F106" i="59"/>
  <c r="G106" i="59"/>
  <c r="E107" i="59"/>
  <c r="E108" i="59" s="1"/>
  <c r="E112" i="59"/>
  <c r="G112" i="59"/>
  <c r="D113" i="59"/>
  <c r="D112" i="59" s="1"/>
  <c r="F113" i="59"/>
  <c r="F112" i="59" s="1"/>
  <c r="F111" i="59" s="1"/>
  <c r="D117" i="59"/>
  <c r="E117" i="59"/>
  <c r="F117" i="59"/>
  <c r="G117" i="59"/>
  <c r="E121" i="59"/>
  <c r="E159" i="59" s="1"/>
  <c r="G121" i="59"/>
  <c r="G159" i="59" s="1"/>
  <c r="G161" i="59" s="1"/>
  <c r="D122" i="59"/>
  <c r="D121" i="59" s="1"/>
  <c r="D159" i="59" s="1"/>
  <c r="D161" i="59" s="1"/>
  <c r="F122" i="59"/>
  <c r="F121" i="59" s="1"/>
  <c r="F159" i="59" s="1"/>
  <c r="F161" i="59" s="1"/>
  <c r="D134" i="59"/>
  <c r="E134" i="59"/>
  <c r="F134" i="59"/>
  <c r="G134" i="59"/>
  <c r="D140" i="59"/>
  <c r="E140" i="59"/>
  <c r="F140" i="59"/>
  <c r="G140" i="59"/>
  <c r="D156" i="59"/>
  <c r="E156" i="59"/>
  <c r="F156" i="59"/>
  <c r="G156" i="59"/>
  <c r="E161" i="59"/>
  <c r="D163" i="59"/>
  <c r="E163" i="59"/>
  <c r="F163" i="59"/>
  <c r="G163" i="59"/>
  <c r="D168" i="59"/>
  <c r="E168" i="59"/>
  <c r="F168" i="59"/>
  <c r="G168" i="59"/>
  <c r="D170" i="59"/>
  <c r="D184" i="59" s="1"/>
  <c r="D172" i="59" s="1"/>
  <c r="E170" i="59"/>
  <c r="F170" i="59"/>
  <c r="G170" i="59"/>
  <c r="D171" i="59"/>
  <c r="E171" i="59"/>
  <c r="F171" i="59"/>
  <c r="G171" i="59"/>
  <c r="G178" i="59"/>
  <c r="D180" i="59"/>
  <c r="E180" i="59"/>
  <c r="F180" i="59"/>
  <c r="G180" i="59"/>
  <c r="G181" i="59"/>
  <c r="D183" i="59"/>
  <c r="E183" i="59"/>
  <c r="F183" i="59"/>
  <c r="G183" i="59"/>
  <c r="D21" i="58"/>
  <c r="E21" i="58"/>
  <c r="E78" i="58" s="1"/>
  <c r="E178" i="58" s="1"/>
  <c r="E164" i="58" s="1"/>
  <c r="F21" i="58"/>
  <c r="F78" i="58" s="1"/>
  <c r="F178" i="58" s="1"/>
  <c r="G21" i="58"/>
  <c r="D36" i="58"/>
  <c r="E36" i="58"/>
  <c r="F36" i="58"/>
  <c r="F79" i="58" s="1"/>
  <c r="G36" i="58"/>
  <c r="G79" i="58" s="1"/>
  <c r="F37" i="58"/>
  <c r="F56" i="58" s="1"/>
  <c r="D55" i="58"/>
  <c r="D166" i="58" s="1"/>
  <c r="E55" i="58"/>
  <c r="E166" i="58" s="1"/>
  <c r="F55" i="58"/>
  <c r="G55" i="58"/>
  <c r="G166" i="58" s="1"/>
  <c r="D76" i="58"/>
  <c r="E76" i="58"/>
  <c r="F76" i="58"/>
  <c r="G76" i="58"/>
  <c r="D78" i="58"/>
  <c r="D95" i="58"/>
  <c r="D107" i="58" s="1"/>
  <c r="D108" i="58" s="1"/>
  <c r="D153" i="58" s="1"/>
  <c r="E95" i="58"/>
  <c r="F95" i="58"/>
  <c r="G95" i="58"/>
  <c r="D106" i="58"/>
  <c r="E106" i="58"/>
  <c r="E107" i="58" s="1"/>
  <c r="E108" i="58" s="1"/>
  <c r="F106" i="58"/>
  <c r="G106" i="58"/>
  <c r="D112" i="58"/>
  <c r="E112" i="58"/>
  <c r="F112" i="58"/>
  <c r="G112" i="58"/>
  <c r="D117" i="58"/>
  <c r="E117" i="58"/>
  <c r="F117" i="58"/>
  <c r="G117" i="58"/>
  <c r="D121" i="58"/>
  <c r="D159" i="58" s="1"/>
  <c r="E121" i="58"/>
  <c r="E159" i="58" s="1"/>
  <c r="E161" i="58" s="1"/>
  <c r="F121" i="58"/>
  <c r="G121" i="58"/>
  <c r="G159" i="58" s="1"/>
  <c r="G161" i="58" s="1"/>
  <c r="D134" i="58"/>
  <c r="E134" i="58"/>
  <c r="F134" i="58"/>
  <c r="G134" i="58"/>
  <c r="D140" i="58"/>
  <c r="E140" i="58"/>
  <c r="F140" i="58"/>
  <c r="G140" i="58"/>
  <c r="D152" i="58"/>
  <c r="D156" i="58"/>
  <c r="E156" i="58"/>
  <c r="F156" i="58"/>
  <c r="G156" i="58"/>
  <c r="F159" i="58"/>
  <c r="F161" i="58" s="1"/>
  <c r="D160" i="58"/>
  <c r="D161" i="58"/>
  <c r="D162" i="58"/>
  <c r="D163" i="58"/>
  <c r="E163" i="58"/>
  <c r="F163" i="58"/>
  <c r="G163" i="58"/>
  <c r="F166" i="58"/>
  <c r="D168" i="58"/>
  <c r="E168" i="58"/>
  <c r="F168" i="58"/>
  <c r="G168" i="58"/>
  <c r="D170" i="58"/>
  <c r="D184" i="58" s="1"/>
  <c r="D172" i="58" s="1"/>
  <c r="E170" i="58"/>
  <c r="E184" i="58" s="1"/>
  <c r="E172" i="58" s="1"/>
  <c r="F170" i="58"/>
  <c r="G170" i="58"/>
  <c r="D171" i="58"/>
  <c r="E171" i="58"/>
  <c r="E182" i="58" s="1"/>
  <c r="F171" i="58"/>
  <c r="G171" i="58"/>
  <c r="D177" i="58"/>
  <c r="D169" i="58" s="1"/>
  <c r="E177" i="58"/>
  <c r="F177" i="58"/>
  <c r="G177" i="58"/>
  <c r="D178" i="58"/>
  <c r="D180" i="58"/>
  <c r="E180" i="58"/>
  <c r="F180" i="58"/>
  <c r="G180" i="58"/>
  <c r="D181" i="58"/>
  <c r="E181" i="58"/>
  <c r="F181" i="58"/>
  <c r="G181" i="58"/>
  <c r="D183" i="58"/>
  <c r="E183" i="58"/>
  <c r="E185" i="58" s="1"/>
  <c r="F183" i="58"/>
  <c r="G183" i="58"/>
  <c r="G184" i="58" s="1"/>
  <c r="G172" i="58" s="1"/>
  <c r="D13" i="57"/>
  <c r="D21" i="57" s="1"/>
  <c r="D78" i="57" s="1"/>
  <c r="D178" i="57" s="1"/>
  <c r="E13" i="57"/>
  <c r="F21" i="57"/>
  <c r="G21" i="57"/>
  <c r="G78" i="57" s="1"/>
  <c r="D22" i="57"/>
  <c r="E22" i="57"/>
  <c r="D23" i="57"/>
  <c r="D36" i="57" s="1"/>
  <c r="E23" i="57"/>
  <c r="F36" i="57"/>
  <c r="F79" i="57" s="1"/>
  <c r="G36" i="57"/>
  <c r="G79" i="57" s="1"/>
  <c r="D55" i="57"/>
  <c r="D166" i="57" s="1"/>
  <c r="E55" i="57"/>
  <c r="E166" i="57" s="1"/>
  <c r="F55" i="57"/>
  <c r="G55" i="57"/>
  <c r="D76" i="57"/>
  <c r="E76" i="57"/>
  <c r="F76" i="57"/>
  <c r="G76" i="57"/>
  <c r="D95" i="57"/>
  <c r="E95" i="57"/>
  <c r="F95" i="57"/>
  <c r="G95" i="57"/>
  <c r="D99" i="57"/>
  <c r="D106" i="57" s="1"/>
  <c r="E99" i="57"/>
  <c r="E104" i="57"/>
  <c r="F106" i="57"/>
  <c r="G106" i="57"/>
  <c r="E112" i="57"/>
  <c r="F112" i="57"/>
  <c r="G112" i="57"/>
  <c r="D113" i="57"/>
  <c r="D112" i="57" s="1"/>
  <c r="D117" i="57"/>
  <c r="E117" i="57"/>
  <c r="F117" i="57"/>
  <c r="G117" i="57"/>
  <c r="E121" i="57"/>
  <c r="F121" i="57"/>
  <c r="F159" i="57" s="1"/>
  <c r="F161" i="57" s="1"/>
  <c r="G121" i="57"/>
  <c r="G159" i="57" s="1"/>
  <c r="G161" i="57" s="1"/>
  <c r="D122" i="57"/>
  <c r="D121" i="57" s="1"/>
  <c r="D159" i="57" s="1"/>
  <c r="D161" i="57" s="1"/>
  <c r="D134" i="57"/>
  <c r="E134" i="57"/>
  <c r="F134" i="57"/>
  <c r="G134" i="57"/>
  <c r="D140" i="57"/>
  <c r="E140" i="57"/>
  <c r="F140" i="57"/>
  <c r="G140" i="57"/>
  <c r="D156" i="57"/>
  <c r="E156" i="57"/>
  <c r="F156" i="57"/>
  <c r="G156" i="57"/>
  <c r="E159" i="57"/>
  <c r="E161" i="57" s="1"/>
  <c r="D163" i="57"/>
  <c r="E163" i="57"/>
  <c r="F163" i="57"/>
  <c r="G163" i="57"/>
  <c r="D168" i="57"/>
  <c r="E168" i="57"/>
  <c r="F168" i="57"/>
  <c r="G168" i="57"/>
  <c r="D170" i="57"/>
  <c r="E170" i="57"/>
  <c r="F170" i="57"/>
  <c r="G170" i="57"/>
  <c r="F171" i="57"/>
  <c r="G171" i="57"/>
  <c r="F177" i="57"/>
  <c r="G177" i="57"/>
  <c r="G178" i="57"/>
  <c r="D180" i="57"/>
  <c r="E180" i="57"/>
  <c r="F180" i="57"/>
  <c r="G180" i="57"/>
  <c r="F181" i="57"/>
  <c r="G181" i="57"/>
  <c r="D183" i="57"/>
  <c r="D184" i="57" s="1"/>
  <c r="D172" i="57" s="1"/>
  <c r="F183" i="57"/>
  <c r="G183" i="57"/>
  <c r="G185" i="57" s="1"/>
  <c r="D21" i="56"/>
  <c r="E21" i="56"/>
  <c r="F21" i="56"/>
  <c r="F78" i="56" s="1"/>
  <c r="F178" i="56" s="1"/>
  <c r="G21" i="56"/>
  <c r="D36" i="56"/>
  <c r="E36" i="56"/>
  <c r="F36" i="56"/>
  <c r="G36" i="56"/>
  <c r="D55" i="56"/>
  <c r="E55" i="56"/>
  <c r="E166" i="56" s="1"/>
  <c r="F55" i="56"/>
  <c r="G55" i="56"/>
  <c r="G166" i="56" s="1"/>
  <c r="D76" i="56"/>
  <c r="E76" i="56"/>
  <c r="F76" i="56"/>
  <c r="G76" i="56"/>
  <c r="D78" i="56"/>
  <c r="D178" i="56" s="1"/>
  <c r="E79" i="56"/>
  <c r="G79" i="56"/>
  <c r="D95" i="56"/>
  <c r="E95" i="56"/>
  <c r="F95" i="56"/>
  <c r="F107" i="56" s="1"/>
  <c r="F108" i="56" s="1"/>
  <c r="G95" i="56"/>
  <c r="D106" i="56"/>
  <c r="E106" i="56"/>
  <c r="F106" i="56"/>
  <c r="G106" i="56"/>
  <c r="G107" i="56" s="1"/>
  <c r="G108" i="56" s="1"/>
  <c r="D112" i="56"/>
  <c r="E112" i="56"/>
  <c r="F112" i="56"/>
  <c r="G112" i="56"/>
  <c r="D117" i="56"/>
  <c r="E117" i="56"/>
  <c r="F117" i="56"/>
  <c r="G117" i="56"/>
  <c r="D121" i="56"/>
  <c r="D159" i="56" s="1"/>
  <c r="D161" i="56" s="1"/>
  <c r="E121" i="56"/>
  <c r="E159" i="56" s="1"/>
  <c r="E161" i="56" s="1"/>
  <c r="F121" i="56"/>
  <c r="F159" i="56" s="1"/>
  <c r="F161" i="56" s="1"/>
  <c r="G121" i="56"/>
  <c r="G159" i="56" s="1"/>
  <c r="G161" i="56" s="1"/>
  <c r="D134" i="56"/>
  <c r="E134" i="56"/>
  <c r="F134" i="56"/>
  <c r="G134" i="56"/>
  <c r="D140" i="56"/>
  <c r="E140" i="56"/>
  <c r="F140" i="56"/>
  <c r="G140" i="56"/>
  <c r="G133" i="56" s="1"/>
  <c r="D156" i="56"/>
  <c r="E156" i="56"/>
  <c r="F156" i="56"/>
  <c r="G156" i="56"/>
  <c r="D163" i="56"/>
  <c r="E163" i="56"/>
  <c r="F163" i="56"/>
  <c r="G163" i="56"/>
  <c r="D166" i="56"/>
  <c r="F166" i="56"/>
  <c r="D168" i="56"/>
  <c r="E168" i="56"/>
  <c r="F168" i="56"/>
  <c r="G168" i="56"/>
  <c r="D170" i="56"/>
  <c r="E170" i="56"/>
  <c r="F170" i="56"/>
  <c r="G170" i="56"/>
  <c r="D171" i="56"/>
  <c r="E171" i="56"/>
  <c r="F171" i="56"/>
  <c r="G171" i="56"/>
  <c r="G182" i="56" s="1"/>
  <c r="D177" i="56"/>
  <c r="E177" i="56"/>
  <c r="F177" i="56"/>
  <c r="G177" i="56"/>
  <c r="G165" i="56" s="1"/>
  <c r="D180" i="56"/>
  <c r="E180" i="56"/>
  <c r="F180" i="56"/>
  <c r="G180" i="56"/>
  <c r="D181" i="56"/>
  <c r="E181" i="56"/>
  <c r="E185" i="56" s="1"/>
  <c r="F181" i="56"/>
  <c r="F185" i="56" s="1"/>
  <c r="G181" i="56"/>
  <c r="D183" i="56"/>
  <c r="D185" i="56" s="1"/>
  <c r="E183" i="56"/>
  <c r="E184" i="56" s="1"/>
  <c r="E172" i="56" s="1"/>
  <c r="F183" i="56"/>
  <c r="G183" i="56"/>
  <c r="G185" i="56" s="1"/>
  <c r="D21" i="55"/>
  <c r="E21" i="55"/>
  <c r="E78" i="55" s="1"/>
  <c r="E178" i="55" s="1"/>
  <c r="F21" i="55"/>
  <c r="G21" i="55"/>
  <c r="G78" i="55" s="1"/>
  <c r="G178" i="55" s="1"/>
  <c r="E22" i="55"/>
  <c r="F22" i="55"/>
  <c r="G22" i="55"/>
  <c r="G181" i="55" s="1"/>
  <c r="E23" i="55"/>
  <c r="F23" i="55"/>
  <c r="G23" i="55"/>
  <c r="D36" i="55"/>
  <c r="D79" i="55" s="1"/>
  <c r="D55" i="55"/>
  <c r="D166" i="55" s="1"/>
  <c r="E55" i="55"/>
  <c r="F55" i="55"/>
  <c r="F166" i="55" s="1"/>
  <c r="G55" i="55"/>
  <c r="G166" i="55" s="1"/>
  <c r="D76" i="55"/>
  <c r="E76" i="55"/>
  <c r="F76" i="55"/>
  <c r="G76" i="55"/>
  <c r="F78" i="55"/>
  <c r="F178" i="55" s="1"/>
  <c r="D95" i="55"/>
  <c r="E95" i="55"/>
  <c r="F95" i="55"/>
  <c r="G95" i="55"/>
  <c r="G107" i="55" s="1"/>
  <c r="D106" i="55"/>
  <c r="E106" i="55"/>
  <c r="F106" i="55"/>
  <c r="G106" i="55"/>
  <c r="D112" i="55"/>
  <c r="E112" i="55"/>
  <c r="G112" i="55"/>
  <c r="F113" i="55"/>
  <c r="F112" i="55" s="1"/>
  <c r="D117" i="55"/>
  <c r="E117" i="55"/>
  <c r="F117" i="55"/>
  <c r="G117" i="55"/>
  <c r="D121" i="55"/>
  <c r="D159" i="55" s="1"/>
  <c r="E121" i="55"/>
  <c r="E159" i="55" s="1"/>
  <c r="E161" i="55" s="1"/>
  <c r="F121" i="55"/>
  <c r="F159" i="55" s="1"/>
  <c r="F161" i="55" s="1"/>
  <c r="G121" i="55"/>
  <c r="D134" i="55"/>
  <c r="E134" i="55"/>
  <c r="F134" i="55"/>
  <c r="G134" i="55"/>
  <c r="D140" i="55"/>
  <c r="E140" i="55"/>
  <c r="F140" i="55"/>
  <c r="G140" i="55"/>
  <c r="D156" i="55"/>
  <c r="E156" i="55"/>
  <c r="F156" i="55"/>
  <c r="G156" i="55"/>
  <c r="G159" i="55"/>
  <c r="G161" i="55" s="1"/>
  <c r="D160" i="55"/>
  <c r="D161" i="55"/>
  <c r="D162" i="55"/>
  <c r="D163" i="55"/>
  <c r="E163" i="55"/>
  <c r="F163" i="55"/>
  <c r="G163" i="55"/>
  <c r="E166" i="55"/>
  <c r="D168" i="55"/>
  <c r="E168" i="55"/>
  <c r="F168" i="55"/>
  <c r="G168" i="55"/>
  <c r="D170" i="55"/>
  <c r="E170" i="55"/>
  <c r="F170" i="55"/>
  <c r="G170" i="55"/>
  <c r="D171" i="55"/>
  <c r="E171" i="55"/>
  <c r="F171" i="55"/>
  <c r="G171" i="55"/>
  <c r="D177" i="55"/>
  <c r="D151" i="55" s="1"/>
  <c r="D180" i="55"/>
  <c r="E180" i="55"/>
  <c r="F180" i="55"/>
  <c r="G180" i="55"/>
  <c r="D181" i="55"/>
  <c r="D182" i="55"/>
  <c r="D183" i="55"/>
  <c r="E183" i="55"/>
  <c r="E184" i="55" s="1"/>
  <c r="E172" i="55" s="1"/>
  <c r="F183" i="55"/>
  <c r="G183" i="55"/>
  <c r="D21" i="54"/>
  <c r="E21" i="54"/>
  <c r="E78" i="54" s="1"/>
  <c r="E178" i="54" s="1"/>
  <c r="F21" i="54"/>
  <c r="F78" i="54" s="1"/>
  <c r="F178" i="54" s="1"/>
  <c r="G21" i="54"/>
  <c r="G78" i="54" s="1"/>
  <c r="G178" i="54" s="1"/>
  <c r="D22" i="54"/>
  <c r="E22" i="54"/>
  <c r="E181" i="54" s="1"/>
  <c r="E185" i="54" s="1"/>
  <c r="F22" i="54"/>
  <c r="G22" i="54"/>
  <c r="D23" i="54"/>
  <c r="E23" i="54"/>
  <c r="F23" i="54"/>
  <c r="G23" i="54"/>
  <c r="G36" i="54"/>
  <c r="D55" i="54"/>
  <c r="D166" i="54" s="1"/>
  <c r="E55" i="54"/>
  <c r="E166" i="54" s="1"/>
  <c r="F55" i="54"/>
  <c r="G55" i="54"/>
  <c r="G166" i="54" s="1"/>
  <c r="D76" i="54"/>
  <c r="E76" i="54"/>
  <c r="F76" i="54"/>
  <c r="G76" i="54"/>
  <c r="D78" i="54"/>
  <c r="D178" i="54" s="1"/>
  <c r="D164" i="54" s="1"/>
  <c r="D95" i="54"/>
  <c r="E95" i="54"/>
  <c r="F95" i="54"/>
  <c r="G95" i="54"/>
  <c r="G107" i="54" s="1"/>
  <c r="G108" i="54" s="1"/>
  <c r="D106" i="54"/>
  <c r="E106" i="54"/>
  <c r="F106" i="54"/>
  <c r="G106" i="54"/>
  <c r="E112" i="54"/>
  <c r="G112" i="54"/>
  <c r="D113" i="54"/>
  <c r="D112" i="54" s="1"/>
  <c r="F113" i="54"/>
  <c r="F112" i="54" s="1"/>
  <c r="D117" i="54"/>
  <c r="E117" i="54"/>
  <c r="F117" i="54"/>
  <c r="G117" i="54"/>
  <c r="E121" i="54"/>
  <c r="E159" i="54" s="1"/>
  <c r="E161" i="54" s="1"/>
  <c r="G121" i="54"/>
  <c r="D122" i="54"/>
  <c r="D121" i="54" s="1"/>
  <c r="D159" i="54" s="1"/>
  <c r="D161" i="54" s="1"/>
  <c r="F122" i="54"/>
  <c r="F121" i="54" s="1"/>
  <c r="F159" i="54" s="1"/>
  <c r="F161" i="54" s="1"/>
  <c r="D126" i="54"/>
  <c r="D134" i="54"/>
  <c r="E134" i="54"/>
  <c r="F134" i="54"/>
  <c r="G134" i="54"/>
  <c r="D140" i="54"/>
  <c r="E140" i="54"/>
  <c r="G140" i="54"/>
  <c r="F144" i="54"/>
  <c r="F140" i="54" s="1"/>
  <c r="D156" i="54"/>
  <c r="E156" i="54"/>
  <c r="F156" i="54"/>
  <c r="G156" i="54"/>
  <c r="G159" i="54"/>
  <c r="G161" i="54" s="1"/>
  <c r="D163" i="54"/>
  <c r="E163" i="54"/>
  <c r="F163" i="54"/>
  <c r="G163" i="54"/>
  <c r="F166" i="54"/>
  <c r="D168" i="54"/>
  <c r="E168" i="54"/>
  <c r="F168" i="54"/>
  <c r="G168" i="54"/>
  <c r="D170" i="54"/>
  <c r="E170" i="54"/>
  <c r="F170" i="54"/>
  <c r="G170" i="54"/>
  <c r="D171" i="54"/>
  <c r="E171" i="54"/>
  <c r="F171" i="54"/>
  <c r="G171" i="54"/>
  <c r="E177" i="54"/>
  <c r="G177" i="54"/>
  <c r="D180" i="54"/>
  <c r="E180" i="54"/>
  <c r="F180" i="54"/>
  <c r="G180" i="54"/>
  <c r="G181" i="54"/>
  <c r="D183" i="54"/>
  <c r="E183" i="54"/>
  <c r="F183" i="54"/>
  <c r="G183" i="54"/>
  <c r="G184" i="54" s="1"/>
  <c r="G172" i="54" s="1"/>
  <c r="D21" i="53"/>
  <c r="E21" i="53"/>
  <c r="E78" i="53" s="1"/>
  <c r="E178" i="53" s="1"/>
  <c r="F21" i="53"/>
  <c r="G21" i="53"/>
  <c r="G78" i="53" s="1"/>
  <c r="G178" i="53" s="1"/>
  <c r="G22" i="53"/>
  <c r="D36" i="53"/>
  <c r="D79" i="53" s="1"/>
  <c r="E36" i="53"/>
  <c r="E37" i="53" s="1"/>
  <c r="F36" i="53"/>
  <c r="G36" i="53"/>
  <c r="G37" i="53" s="1"/>
  <c r="D55" i="53"/>
  <c r="D166" i="53" s="1"/>
  <c r="E55" i="53"/>
  <c r="F55" i="53"/>
  <c r="F166" i="53" s="1"/>
  <c r="G55" i="53"/>
  <c r="G166" i="53" s="1"/>
  <c r="D76" i="53"/>
  <c r="E76" i="53"/>
  <c r="F76" i="53"/>
  <c r="G76" i="53"/>
  <c r="F79" i="53"/>
  <c r="G79" i="53"/>
  <c r="D95" i="53"/>
  <c r="E95" i="53"/>
  <c r="F95" i="53"/>
  <c r="G95" i="53"/>
  <c r="D106" i="53"/>
  <c r="E106" i="53"/>
  <c r="F106" i="53"/>
  <c r="G106" i="53"/>
  <c r="G107" i="53" s="1"/>
  <c r="G108" i="53" s="1"/>
  <c r="E107" i="53"/>
  <c r="E108" i="53" s="1"/>
  <c r="D112" i="53"/>
  <c r="E112" i="53"/>
  <c r="G112" i="53"/>
  <c r="F113" i="53"/>
  <c r="F112" i="53" s="1"/>
  <c r="D117" i="53"/>
  <c r="E117" i="53"/>
  <c r="F117" i="53"/>
  <c r="G117" i="53"/>
  <c r="D121" i="53"/>
  <c r="E121" i="53"/>
  <c r="E159" i="53" s="1"/>
  <c r="E161" i="53" s="1"/>
  <c r="G121" i="53"/>
  <c r="G159" i="53" s="1"/>
  <c r="F122" i="53"/>
  <c r="F121" i="53" s="1"/>
  <c r="F159" i="53" s="1"/>
  <c r="F161" i="53" s="1"/>
  <c r="D134" i="53"/>
  <c r="E134" i="53"/>
  <c r="F134" i="53"/>
  <c r="G134" i="53"/>
  <c r="D140" i="53"/>
  <c r="D133" i="53" s="1"/>
  <c r="E140" i="53"/>
  <c r="F140" i="53"/>
  <c r="G140" i="53"/>
  <c r="D156" i="53"/>
  <c r="E156" i="53"/>
  <c r="F156" i="53"/>
  <c r="G156" i="53"/>
  <c r="D159" i="53"/>
  <c r="D161" i="53" s="1"/>
  <c r="D163" i="53"/>
  <c r="E163" i="53"/>
  <c r="F163" i="53"/>
  <c r="G163" i="53"/>
  <c r="E166" i="53"/>
  <c r="D168" i="53"/>
  <c r="E168" i="53"/>
  <c r="F168" i="53"/>
  <c r="G168" i="53"/>
  <c r="D170" i="53"/>
  <c r="E170" i="53"/>
  <c r="F170" i="53"/>
  <c r="G170" i="53"/>
  <c r="D171" i="53"/>
  <c r="E171" i="53"/>
  <c r="F171" i="53"/>
  <c r="G171" i="53"/>
  <c r="G175" i="53"/>
  <c r="D177" i="53"/>
  <c r="E177" i="53"/>
  <c r="F177" i="53"/>
  <c r="G177" i="53"/>
  <c r="D180" i="53"/>
  <c r="E180" i="53"/>
  <c r="F180" i="53"/>
  <c r="G180" i="53"/>
  <c r="D181" i="53"/>
  <c r="E181" i="53"/>
  <c r="E182" i="53" s="1"/>
  <c r="F181" i="53"/>
  <c r="G181" i="53"/>
  <c r="G182" i="53" s="1"/>
  <c r="D183" i="53"/>
  <c r="E183" i="53"/>
  <c r="E184" i="53" s="1"/>
  <c r="E172" i="53" s="1"/>
  <c r="F183" i="53"/>
  <c r="G183" i="53"/>
  <c r="D21" i="52"/>
  <c r="E21" i="52"/>
  <c r="E78" i="52" s="1"/>
  <c r="F21" i="52"/>
  <c r="F37" i="52" s="1"/>
  <c r="G21" i="52"/>
  <c r="G22" i="52"/>
  <c r="G23" i="52"/>
  <c r="D36" i="52"/>
  <c r="E36" i="52"/>
  <c r="F36" i="52"/>
  <c r="D55" i="52"/>
  <c r="D166" i="52" s="1"/>
  <c r="E55" i="52"/>
  <c r="E166" i="52" s="1"/>
  <c r="F55" i="52"/>
  <c r="F166" i="52" s="1"/>
  <c r="G55" i="52"/>
  <c r="D76" i="52"/>
  <c r="E76" i="52"/>
  <c r="F76" i="52"/>
  <c r="G76" i="52"/>
  <c r="G78" i="52"/>
  <c r="G178" i="52" s="1"/>
  <c r="D79" i="52"/>
  <c r="F79" i="52"/>
  <c r="D95" i="52"/>
  <c r="E95" i="52"/>
  <c r="F95" i="52"/>
  <c r="G95" i="52"/>
  <c r="D106" i="52"/>
  <c r="E106" i="52"/>
  <c r="E107" i="52" s="1"/>
  <c r="E108" i="52" s="1"/>
  <c r="F106" i="52"/>
  <c r="G106" i="52"/>
  <c r="G107" i="52" s="1"/>
  <c r="G108" i="52" s="1"/>
  <c r="D107" i="52"/>
  <c r="D108" i="52" s="1"/>
  <c r="E111" i="52"/>
  <c r="D112" i="52"/>
  <c r="E112" i="52"/>
  <c r="F112" i="52"/>
  <c r="G112" i="52"/>
  <c r="D117" i="52"/>
  <c r="E117" i="52"/>
  <c r="F117" i="52"/>
  <c r="G117" i="52"/>
  <c r="D121" i="52"/>
  <c r="D159" i="52" s="1"/>
  <c r="D161" i="52" s="1"/>
  <c r="E121" i="52"/>
  <c r="E159" i="52" s="1"/>
  <c r="E161" i="52" s="1"/>
  <c r="F121" i="52"/>
  <c r="F159" i="52" s="1"/>
  <c r="F161" i="52" s="1"/>
  <c r="G121" i="52"/>
  <c r="D134" i="52"/>
  <c r="E134" i="52"/>
  <c r="F134" i="52"/>
  <c r="G134" i="52"/>
  <c r="G133" i="52" s="1"/>
  <c r="D140" i="52"/>
  <c r="E140" i="52"/>
  <c r="F140" i="52"/>
  <c r="G140" i="52"/>
  <c r="D156" i="52"/>
  <c r="E156" i="52"/>
  <c r="F156" i="52"/>
  <c r="G156" i="52"/>
  <c r="G159" i="52"/>
  <c r="G161" i="52" s="1"/>
  <c r="D163" i="52"/>
  <c r="E163" i="52"/>
  <c r="F163" i="52"/>
  <c r="G163" i="52"/>
  <c r="D168" i="52"/>
  <c r="E168" i="52"/>
  <c r="F168" i="52"/>
  <c r="G168" i="52"/>
  <c r="D170" i="52"/>
  <c r="E170" i="52"/>
  <c r="F170" i="52"/>
  <c r="G170" i="52"/>
  <c r="D171" i="52"/>
  <c r="E171" i="52"/>
  <c r="F171" i="52"/>
  <c r="G171" i="52"/>
  <c r="D177" i="52"/>
  <c r="E177" i="52"/>
  <c r="F177" i="52"/>
  <c r="E178" i="52"/>
  <c r="D180" i="52"/>
  <c r="E180" i="52"/>
  <c r="F180" i="52"/>
  <c r="G180" i="52"/>
  <c r="D181" i="52"/>
  <c r="E181" i="52"/>
  <c r="F181" i="52"/>
  <c r="F182" i="52"/>
  <c r="D183" i="52"/>
  <c r="D184" i="52" s="1"/>
  <c r="D172" i="52" s="1"/>
  <c r="E183" i="52"/>
  <c r="F183" i="52"/>
  <c r="G183" i="52"/>
  <c r="D21" i="51"/>
  <c r="D78" i="51" s="1"/>
  <c r="D178" i="51" s="1"/>
  <c r="E21" i="51"/>
  <c r="E78" i="51" s="1"/>
  <c r="E178" i="51" s="1"/>
  <c r="F21" i="51"/>
  <c r="F78" i="51" s="1"/>
  <c r="F178" i="51" s="1"/>
  <c r="F164" i="51" s="1"/>
  <c r="G21" i="51"/>
  <c r="G78" i="51" s="1"/>
  <c r="G178" i="51" s="1"/>
  <c r="D36" i="51"/>
  <c r="D37" i="51" s="1"/>
  <c r="E36" i="51"/>
  <c r="F36" i="51"/>
  <c r="F79" i="51" s="1"/>
  <c r="G36" i="51"/>
  <c r="D55" i="51"/>
  <c r="D166" i="51" s="1"/>
  <c r="E55" i="51"/>
  <c r="F55" i="51"/>
  <c r="F166" i="51" s="1"/>
  <c r="G55" i="51"/>
  <c r="D76" i="51"/>
  <c r="E76" i="51"/>
  <c r="F76" i="51"/>
  <c r="G76" i="51"/>
  <c r="D79" i="51"/>
  <c r="D95" i="51"/>
  <c r="E95" i="51"/>
  <c r="F95" i="51"/>
  <c r="G95" i="51"/>
  <c r="D106" i="51"/>
  <c r="E106" i="51"/>
  <c r="F106" i="51"/>
  <c r="G106" i="51"/>
  <c r="G107" i="51" s="1"/>
  <c r="G108" i="51" s="1"/>
  <c r="E112" i="51"/>
  <c r="F112" i="51"/>
  <c r="F111" i="51" s="1"/>
  <c r="G112" i="51"/>
  <c r="D113" i="51"/>
  <c r="D115" i="51"/>
  <c r="D117" i="51"/>
  <c r="E117" i="51"/>
  <c r="F117" i="51"/>
  <c r="G117" i="51"/>
  <c r="D121" i="51"/>
  <c r="D159" i="51" s="1"/>
  <c r="D161" i="51" s="1"/>
  <c r="E121" i="51"/>
  <c r="E159" i="51" s="1"/>
  <c r="E161" i="51" s="1"/>
  <c r="F121" i="51"/>
  <c r="F159" i="51" s="1"/>
  <c r="F161" i="51" s="1"/>
  <c r="G121" i="51"/>
  <c r="D134" i="51"/>
  <c r="E134" i="51"/>
  <c r="F134" i="51"/>
  <c r="G134" i="51"/>
  <c r="D140" i="51"/>
  <c r="E140" i="51"/>
  <c r="F140" i="51"/>
  <c r="G140" i="51"/>
  <c r="G133" i="51" s="1"/>
  <c r="D156" i="51"/>
  <c r="E156" i="51"/>
  <c r="F156" i="51"/>
  <c r="G156" i="51"/>
  <c r="G159" i="51"/>
  <c r="G161" i="51" s="1"/>
  <c r="D163" i="51"/>
  <c r="E163" i="51"/>
  <c r="F163" i="51"/>
  <c r="G163" i="51"/>
  <c r="D168" i="51"/>
  <c r="E168" i="51"/>
  <c r="F168" i="51"/>
  <c r="G168" i="51"/>
  <c r="D170" i="51"/>
  <c r="D184" i="51" s="1"/>
  <c r="D172" i="51" s="1"/>
  <c r="E170" i="51"/>
  <c r="F170" i="51"/>
  <c r="G170" i="51"/>
  <c r="D171" i="51"/>
  <c r="D182" i="51" s="1"/>
  <c r="E171" i="51"/>
  <c r="F171" i="51"/>
  <c r="G171" i="51"/>
  <c r="D177" i="51"/>
  <c r="E177" i="51"/>
  <c r="F177" i="51"/>
  <c r="G177" i="51"/>
  <c r="F179" i="51"/>
  <c r="D180" i="51"/>
  <c r="E180" i="51"/>
  <c r="F180" i="51"/>
  <c r="G180" i="51"/>
  <c r="D181" i="51"/>
  <c r="E181" i="51"/>
  <c r="E182" i="51" s="1"/>
  <c r="F181" i="51"/>
  <c r="G181" i="51"/>
  <c r="D183" i="51"/>
  <c r="D185" i="51" s="1"/>
  <c r="E183" i="51"/>
  <c r="F183" i="51"/>
  <c r="F184" i="51" s="1"/>
  <c r="F172" i="51" s="1"/>
  <c r="G183" i="51"/>
  <c r="G184" i="51" s="1"/>
  <c r="G172" i="51" s="1"/>
  <c r="D21" i="50"/>
  <c r="E21" i="50"/>
  <c r="E78" i="50" s="1"/>
  <c r="E178" i="50" s="1"/>
  <c r="F21" i="50"/>
  <c r="F78" i="50" s="1"/>
  <c r="F178" i="50" s="1"/>
  <c r="F164" i="50" s="1"/>
  <c r="G21" i="50"/>
  <c r="D36" i="50"/>
  <c r="D37" i="50" s="1"/>
  <c r="E36" i="50"/>
  <c r="E79" i="50" s="1"/>
  <c r="F36" i="50"/>
  <c r="G36" i="50"/>
  <c r="D55" i="50"/>
  <c r="D166" i="50" s="1"/>
  <c r="E55" i="50"/>
  <c r="E166" i="50" s="1"/>
  <c r="F55" i="50"/>
  <c r="F166" i="50" s="1"/>
  <c r="G55" i="50"/>
  <c r="D76" i="50"/>
  <c r="E76" i="50"/>
  <c r="F76" i="50"/>
  <c r="G76" i="50"/>
  <c r="D78" i="50"/>
  <c r="G78" i="50"/>
  <c r="G178" i="50" s="1"/>
  <c r="G164" i="50" s="1"/>
  <c r="D79" i="50"/>
  <c r="G79" i="50"/>
  <c r="D95" i="50"/>
  <c r="E95" i="50"/>
  <c r="F95" i="50"/>
  <c r="G95" i="50"/>
  <c r="D106" i="50"/>
  <c r="E106" i="50"/>
  <c r="E107" i="50" s="1"/>
  <c r="E108" i="50" s="1"/>
  <c r="F106" i="50"/>
  <c r="G106" i="50"/>
  <c r="G107" i="50" s="1"/>
  <c r="G108" i="50" s="1"/>
  <c r="D112" i="50"/>
  <c r="D111" i="50" s="1"/>
  <c r="E112" i="50"/>
  <c r="F112" i="50"/>
  <c r="G112" i="50"/>
  <c r="D117" i="50"/>
  <c r="E117" i="50"/>
  <c r="E111" i="50" s="1"/>
  <c r="F117" i="50"/>
  <c r="G117" i="50"/>
  <c r="D121" i="50"/>
  <c r="D159" i="50" s="1"/>
  <c r="D161" i="50" s="1"/>
  <c r="E121" i="50"/>
  <c r="E159" i="50" s="1"/>
  <c r="E161" i="50" s="1"/>
  <c r="F121" i="50"/>
  <c r="F159" i="50" s="1"/>
  <c r="F161" i="50" s="1"/>
  <c r="G121" i="50"/>
  <c r="D134" i="50"/>
  <c r="E134" i="50"/>
  <c r="F134" i="50"/>
  <c r="G134" i="50"/>
  <c r="D140" i="50"/>
  <c r="E140" i="50"/>
  <c r="F140" i="50"/>
  <c r="G140" i="50"/>
  <c r="D156" i="50"/>
  <c r="E156" i="50"/>
  <c r="F156" i="50"/>
  <c r="G156" i="50"/>
  <c r="G159" i="50"/>
  <c r="G161" i="50" s="1"/>
  <c r="D163" i="50"/>
  <c r="E163" i="50"/>
  <c r="F163" i="50"/>
  <c r="G163" i="50"/>
  <c r="D168" i="50"/>
  <c r="E168" i="50"/>
  <c r="F168" i="50"/>
  <c r="G168" i="50"/>
  <c r="D170" i="50"/>
  <c r="E170" i="50"/>
  <c r="F170" i="50"/>
  <c r="G170" i="50"/>
  <c r="D171" i="50"/>
  <c r="D182" i="50" s="1"/>
  <c r="E171" i="50"/>
  <c r="F171" i="50"/>
  <c r="G171" i="50"/>
  <c r="D177" i="50"/>
  <c r="E177" i="50"/>
  <c r="F177" i="50"/>
  <c r="G177" i="50"/>
  <c r="D178" i="50"/>
  <c r="D180" i="50"/>
  <c r="E180" i="50"/>
  <c r="F180" i="50"/>
  <c r="G180" i="50"/>
  <c r="D181" i="50"/>
  <c r="E181" i="50"/>
  <c r="F181" i="50"/>
  <c r="F182" i="50" s="1"/>
  <c r="G181" i="50"/>
  <c r="G185" i="50" s="1"/>
  <c r="D183" i="50"/>
  <c r="D185" i="50" s="1"/>
  <c r="E183" i="50"/>
  <c r="E185" i="50" s="1"/>
  <c r="F183" i="50"/>
  <c r="G183" i="50"/>
  <c r="F16" i="49"/>
  <c r="G16" i="49"/>
  <c r="D21" i="49"/>
  <c r="D78" i="49" s="1"/>
  <c r="D178" i="49" s="1"/>
  <c r="D164" i="49" s="1"/>
  <c r="E21" i="49"/>
  <c r="E78" i="49" s="1"/>
  <c r="E178" i="49" s="1"/>
  <c r="F21" i="49"/>
  <c r="F78" i="49" s="1"/>
  <c r="F178" i="49" s="1"/>
  <c r="G21" i="49"/>
  <c r="G78" i="49" s="1"/>
  <c r="G178" i="49" s="1"/>
  <c r="G164" i="49" s="1"/>
  <c r="F22" i="49"/>
  <c r="G22" i="49"/>
  <c r="F23" i="49"/>
  <c r="G23" i="49"/>
  <c r="D36" i="49"/>
  <c r="E36" i="49"/>
  <c r="D55" i="49"/>
  <c r="D166" i="49" s="1"/>
  <c r="E55" i="49"/>
  <c r="E166" i="49" s="1"/>
  <c r="F55" i="49"/>
  <c r="G55" i="49"/>
  <c r="G166" i="49" s="1"/>
  <c r="D76" i="49"/>
  <c r="E76" i="49"/>
  <c r="F76" i="49"/>
  <c r="G76" i="49"/>
  <c r="D95" i="49"/>
  <c r="E95" i="49"/>
  <c r="F95" i="49"/>
  <c r="G95" i="49"/>
  <c r="G107" i="49" s="1"/>
  <c r="G108" i="49" s="1"/>
  <c r="D106" i="49"/>
  <c r="E106" i="49"/>
  <c r="F106" i="49"/>
  <c r="F107" i="49" s="1"/>
  <c r="F108" i="49" s="1"/>
  <c r="G106" i="49"/>
  <c r="D112" i="49"/>
  <c r="E112" i="49"/>
  <c r="G112" i="49"/>
  <c r="F113" i="49"/>
  <c r="F112" i="49" s="1"/>
  <c r="D117" i="49"/>
  <c r="E117" i="49"/>
  <c r="F117" i="49"/>
  <c r="G117" i="49"/>
  <c r="D121" i="49"/>
  <c r="D159" i="49" s="1"/>
  <c r="D161" i="49" s="1"/>
  <c r="E121" i="49"/>
  <c r="G121" i="49"/>
  <c r="F122" i="49"/>
  <c r="F126" i="49"/>
  <c r="D134" i="49"/>
  <c r="E134" i="49"/>
  <c r="F134" i="49"/>
  <c r="G134" i="49"/>
  <c r="D140" i="49"/>
  <c r="E140" i="49"/>
  <c r="F140" i="49"/>
  <c r="F133" i="49" s="1"/>
  <c r="G140" i="49"/>
  <c r="D156" i="49"/>
  <c r="E156" i="49"/>
  <c r="F156" i="49"/>
  <c r="G156" i="49"/>
  <c r="E159" i="49"/>
  <c r="E161" i="49" s="1"/>
  <c r="G159" i="49"/>
  <c r="G161" i="49" s="1"/>
  <c r="D163" i="49"/>
  <c r="E163" i="49"/>
  <c r="F163" i="49"/>
  <c r="G163" i="49"/>
  <c r="F166" i="49"/>
  <c r="D168" i="49"/>
  <c r="E168" i="49"/>
  <c r="F168" i="49"/>
  <c r="G168" i="49"/>
  <c r="D170" i="49"/>
  <c r="E170" i="49"/>
  <c r="F170" i="49"/>
  <c r="G170" i="49"/>
  <c r="D171" i="49"/>
  <c r="E171" i="49"/>
  <c r="F171" i="49"/>
  <c r="G171" i="49"/>
  <c r="D177" i="49"/>
  <c r="E177" i="49"/>
  <c r="D180" i="49"/>
  <c r="E180" i="49"/>
  <c r="D181" i="49"/>
  <c r="E181" i="49"/>
  <c r="D183" i="49"/>
  <c r="D185" i="49" s="1"/>
  <c r="E183" i="49"/>
  <c r="D21" i="48"/>
  <c r="D78" i="48" s="1"/>
  <c r="D178" i="48" s="1"/>
  <c r="D164" i="48" s="1"/>
  <c r="E21" i="48"/>
  <c r="F21" i="48"/>
  <c r="F78" i="48" s="1"/>
  <c r="F178" i="48" s="1"/>
  <c r="F164" i="48" s="1"/>
  <c r="G21" i="48"/>
  <c r="G78" i="48" s="1"/>
  <c r="G178" i="48" s="1"/>
  <c r="G164" i="48" s="1"/>
  <c r="D36" i="48"/>
  <c r="D37" i="48" s="1"/>
  <c r="E36" i="48"/>
  <c r="E79" i="48" s="1"/>
  <c r="F36" i="48"/>
  <c r="G36" i="48"/>
  <c r="G79" i="48" s="1"/>
  <c r="D55" i="48"/>
  <c r="D166" i="48" s="1"/>
  <c r="E55" i="48"/>
  <c r="F55" i="48"/>
  <c r="G55" i="48"/>
  <c r="D76" i="48"/>
  <c r="E76" i="48"/>
  <c r="F76" i="48"/>
  <c r="G76" i="48"/>
  <c r="D95" i="48"/>
  <c r="E95" i="48"/>
  <c r="F95" i="48"/>
  <c r="G95" i="48"/>
  <c r="D106" i="48"/>
  <c r="D107" i="48" s="1"/>
  <c r="D108" i="48" s="1"/>
  <c r="E106" i="48"/>
  <c r="F106" i="48"/>
  <c r="G106" i="48"/>
  <c r="G107" i="48"/>
  <c r="G108" i="48" s="1"/>
  <c r="D112" i="48"/>
  <c r="E112" i="48"/>
  <c r="F112" i="48"/>
  <c r="G112" i="48"/>
  <c r="D117" i="48"/>
  <c r="E117" i="48"/>
  <c r="F117" i="48"/>
  <c r="G117" i="48"/>
  <c r="D121" i="48"/>
  <c r="D159" i="48" s="1"/>
  <c r="D161" i="48" s="1"/>
  <c r="E121" i="48"/>
  <c r="E159" i="48" s="1"/>
  <c r="E161" i="48" s="1"/>
  <c r="F121" i="48"/>
  <c r="G121" i="48"/>
  <c r="G159" i="48" s="1"/>
  <c r="G161" i="48" s="1"/>
  <c r="D134" i="48"/>
  <c r="E134" i="48"/>
  <c r="F134" i="48"/>
  <c r="G134" i="48"/>
  <c r="D140" i="48"/>
  <c r="E140" i="48"/>
  <c r="F140" i="48"/>
  <c r="G140" i="48"/>
  <c r="D156" i="48"/>
  <c r="E156" i="48"/>
  <c r="F156" i="48"/>
  <c r="G156" i="48"/>
  <c r="F159" i="48"/>
  <c r="F161" i="48" s="1"/>
  <c r="D163" i="48"/>
  <c r="E163" i="48"/>
  <c r="F163" i="48"/>
  <c r="G163" i="48"/>
  <c r="D168" i="48"/>
  <c r="E168" i="48"/>
  <c r="F168" i="48"/>
  <c r="G168" i="48"/>
  <c r="D170" i="48"/>
  <c r="E170" i="48"/>
  <c r="F170" i="48"/>
  <c r="G170" i="48"/>
  <c r="D171" i="48"/>
  <c r="E171" i="48"/>
  <c r="F171" i="48"/>
  <c r="G171" i="48"/>
  <c r="D177" i="48"/>
  <c r="E177" i="48"/>
  <c r="E157" i="48" s="1"/>
  <c r="F177" i="48"/>
  <c r="G177" i="48"/>
  <c r="D180" i="48"/>
  <c r="E180" i="48"/>
  <c r="F180" i="48"/>
  <c r="G180" i="48"/>
  <c r="D181" i="48"/>
  <c r="E181" i="48"/>
  <c r="F181" i="48"/>
  <c r="G181" i="48"/>
  <c r="G182" i="48" s="1"/>
  <c r="D183" i="48"/>
  <c r="D184" i="48" s="1"/>
  <c r="D172" i="48" s="1"/>
  <c r="E183" i="48"/>
  <c r="F183" i="48"/>
  <c r="F185" i="48" s="1"/>
  <c r="G183" i="48"/>
  <c r="F184" i="48"/>
  <c r="F172" i="48" s="1"/>
  <c r="D21" i="47"/>
  <c r="E21" i="47"/>
  <c r="E78" i="47" s="1"/>
  <c r="E178" i="47" s="1"/>
  <c r="F21" i="47"/>
  <c r="G21" i="47"/>
  <c r="G78" i="47" s="1"/>
  <c r="G178" i="47" s="1"/>
  <c r="D36" i="47"/>
  <c r="D37" i="47" s="1"/>
  <c r="E36" i="47"/>
  <c r="E79" i="47" s="1"/>
  <c r="F36" i="47"/>
  <c r="G36" i="47"/>
  <c r="G79" i="47" s="1"/>
  <c r="D55" i="47"/>
  <c r="D166" i="47" s="1"/>
  <c r="E55" i="47"/>
  <c r="F55" i="47"/>
  <c r="G55" i="47"/>
  <c r="G166" i="47" s="1"/>
  <c r="D76" i="47"/>
  <c r="E76" i="47"/>
  <c r="F76" i="47"/>
  <c r="G76" i="47"/>
  <c r="D78" i="47"/>
  <c r="D178" i="47" s="1"/>
  <c r="F78" i="47"/>
  <c r="F178" i="47" s="1"/>
  <c r="F164" i="47" s="1"/>
  <c r="D79" i="47"/>
  <c r="D95" i="47"/>
  <c r="E95" i="47"/>
  <c r="F95" i="47"/>
  <c r="G95" i="47"/>
  <c r="D106" i="47"/>
  <c r="D107" i="47" s="1"/>
  <c r="D108" i="47" s="1"/>
  <c r="E106" i="47"/>
  <c r="F106" i="47"/>
  <c r="G106" i="47"/>
  <c r="G107" i="47" s="1"/>
  <c r="G108" i="47" s="1"/>
  <c r="D112" i="47"/>
  <c r="E112" i="47"/>
  <c r="F112" i="47"/>
  <c r="G112" i="47"/>
  <c r="D117" i="47"/>
  <c r="E117" i="47"/>
  <c r="F117" i="47"/>
  <c r="G117" i="47"/>
  <c r="D121" i="47"/>
  <c r="D159" i="47" s="1"/>
  <c r="D161" i="47" s="1"/>
  <c r="E121" i="47"/>
  <c r="E159" i="47" s="1"/>
  <c r="E161" i="47" s="1"/>
  <c r="F121" i="47"/>
  <c r="F159" i="47" s="1"/>
  <c r="F161" i="47" s="1"/>
  <c r="G121" i="47"/>
  <c r="G159" i="47" s="1"/>
  <c r="D134" i="47"/>
  <c r="E134" i="47"/>
  <c r="F134" i="47"/>
  <c r="G134" i="47"/>
  <c r="D140" i="47"/>
  <c r="E140" i="47"/>
  <c r="F140" i="47"/>
  <c r="G140" i="47"/>
  <c r="D156" i="47"/>
  <c r="E156" i="47"/>
  <c r="F156" i="47"/>
  <c r="G156" i="47"/>
  <c r="G161" i="47"/>
  <c r="D163" i="47"/>
  <c r="E163" i="47"/>
  <c r="F163" i="47"/>
  <c r="G163" i="47"/>
  <c r="F166" i="47"/>
  <c r="D168" i="47"/>
  <c r="E168" i="47"/>
  <c r="F168" i="47"/>
  <c r="G168" i="47"/>
  <c r="D170" i="47"/>
  <c r="E170" i="47"/>
  <c r="F170" i="47"/>
  <c r="G170" i="47"/>
  <c r="D171" i="47"/>
  <c r="E171" i="47"/>
  <c r="F171" i="47"/>
  <c r="G171" i="47"/>
  <c r="D177" i="47"/>
  <c r="E177" i="47"/>
  <c r="F177" i="47"/>
  <c r="F157" i="47" s="1"/>
  <c r="G177" i="47"/>
  <c r="D180" i="47"/>
  <c r="E180" i="47"/>
  <c r="F180" i="47"/>
  <c r="G180" i="47"/>
  <c r="D181" i="47"/>
  <c r="E181" i="47"/>
  <c r="F181" i="47"/>
  <c r="G181" i="47"/>
  <c r="D183" i="47"/>
  <c r="D184" i="47" s="1"/>
  <c r="D172" i="47" s="1"/>
  <c r="E183" i="47"/>
  <c r="E185" i="47" s="1"/>
  <c r="F183" i="47"/>
  <c r="G183" i="47"/>
  <c r="D8" i="46"/>
  <c r="D21" i="46" s="1"/>
  <c r="D78" i="46" s="1"/>
  <c r="D178" i="46" s="1"/>
  <c r="E8" i="46"/>
  <c r="E180" i="46" s="1"/>
  <c r="F8" i="46"/>
  <c r="G8" i="46"/>
  <c r="F9" i="46"/>
  <c r="F21" i="46" s="1"/>
  <c r="F78" i="46" s="1"/>
  <c r="F178" i="46" s="1"/>
  <c r="G9" i="46"/>
  <c r="D13" i="46"/>
  <c r="E13" i="46"/>
  <c r="E183" i="46" s="1"/>
  <c r="F13" i="46"/>
  <c r="G13" i="46"/>
  <c r="D14" i="46"/>
  <c r="F14" i="46"/>
  <c r="G14" i="46"/>
  <c r="D15" i="46"/>
  <c r="F15" i="46"/>
  <c r="G15" i="46"/>
  <c r="D16" i="46"/>
  <c r="D183" i="46" s="1"/>
  <c r="G16" i="46"/>
  <c r="D22" i="46"/>
  <c r="E22" i="46"/>
  <c r="E181" i="46" s="1"/>
  <c r="F22" i="46"/>
  <c r="G22" i="46"/>
  <c r="D23" i="46"/>
  <c r="E23" i="46"/>
  <c r="F23" i="46"/>
  <c r="G23" i="46"/>
  <c r="D32" i="46"/>
  <c r="E32" i="46"/>
  <c r="F32" i="46"/>
  <c r="G32" i="46"/>
  <c r="D55" i="46"/>
  <c r="E55" i="46"/>
  <c r="E166" i="46" s="1"/>
  <c r="F55" i="46"/>
  <c r="F166" i="46" s="1"/>
  <c r="G55" i="46"/>
  <c r="D76" i="46"/>
  <c r="E76" i="46"/>
  <c r="F76" i="46"/>
  <c r="G76" i="46"/>
  <c r="D85" i="46"/>
  <c r="D86" i="46"/>
  <c r="E95" i="46"/>
  <c r="F95" i="46"/>
  <c r="G95" i="46"/>
  <c r="D96" i="46"/>
  <c r="D106" i="46" s="1"/>
  <c r="E106" i="46"/>
  <c r="F106" i="46"/>
  <c r="G106" i="46"/>
  <c r="E112" i="46"/>
  <c r="G112" i="46"/>
  <c r="D113" i="46"/>
  <c r="D112" i="46" s="1"/>
  <c r="F113" i="46"/>
  <c r="F112" i="46" s="1"/>
  <c r="F111" i="46" s="1"/>
  <c r="D117" i="46"/>
  <c r="E117" i="46"/>
  <c r="F117" i="46"/>
  <c r="G117" i="46"/>
  <c r="E121" i="46"/>
  <c r="E159" i="46" s="1"/>
  <c r="E161" i="46" s="1"/>
  <c r="G121" i="46"/>
  <c r="G159" i="46" s="1"/>
  <c r="G161" i="46" s="1"/>
  <c r="D122" i="46"/>
  <c r="D121" i="46" s="1"/>
  <c r="D159" i="46" s="1"/>
  <c r="D161" i="46" s="1"/>
  <c r="F122" i="46"/>
  <c r="F121" i="46" s="1"/>
  <c r="F159" i="46" s="1"/>
  <c r="F161" i="46" s="1"/>
  <c r="D134" i="46"/>
  <c r="E134" i="46"/>
  <c r="F134" i="46"/>
  <c r="G134" i="46"/>
  <c r="D140" i="46"/>
  <c r="E140" i="46"/>
  <c r="F140" i="46"/>
  <c r="G140" i="46"/>
  <c r="D156" i="46"/>
  <c r="E156" i="46"/>
  <c r="F156" i="46"/>
  <c r="G156" i="46"/>
  <c r="D163" i="46"/>
  <c r="E163" i="46"/>
  <c r="F163" i="46"/>
  <c r="G163" i="46"/>
  <c r="G166" i="46"/>
  <c r="D168" i="46"/>
  <c r="E168" i="46"/>
  <c r="F168" i="46"/>
  <c r="G168" i="46"/>
  <c r="E170" i="46"/>
  <c r="F170" i="46"/>
  <c r="G170" i="46"/>
  <c r="E171" i="46"/>
  <c r="F171" i="46"/>
  <c r="G171" i="46"/>
  <c r="D180" i="46"/>
  <c r="F180" i="46"/>
  <c r="F183" i="46"/>
  <c r="F184" i="46" s="1"/>
  <c r="F172" i="46" s="1"/>
  <c r="D21" i="45"/>
  <c r="D78" i="45" s="1"/>
  <c r="D178" i="45" s="1"/>
  <c r="E21" i="45"/>
  <c r="F21" i="45"/>
  <c r="F78" i="45" s="1"/>
  <c r="F178" i="45" s="1"/>
  <c r="F164" i="45" s="1"/>
  <c r="G21" i="45"/>
  <c r="G78" i="45" s="1"/>
  <c r="G178" i="45" s="1"/>
  <c r="D36" i="45"/>
  <c r="D79" i="45" s="1"/>
  <c r="E36" i="45"/>
  <c r="E37" i="45" s="1"/>
  <c r="F36" i="45"/>
  <c r="F79" i="45" s="1"/>
  <c r="G36" i="45"/>
  <c r="D37" i="45"/>
  <c r="D56" i="45" s="1"/>
  <c r="D77" i="45" s="1"/>
  <c r="D150" i="45" s="1"/>
  <c r="D55" i="45"/>
  <c r="E55" i="45"/>
  <c r="F55" i="45"/>
  <c r="F166" i="45" s="1"/>
  <c r="G55" i="45"/>
  <c r="D76" i="45"/>
  <c r="E76" i="45"/>
  <c r="F76" i="45"/>
  <c r="G76" i="45"/>
  <c r="E78" i="45"/>
  <c r="E178" i="45" s="1"/>
  <c r="D95" i="45"/>
  <c r="E95" i="45"/>
  <c r="F95" i="45"/>
  <c r="G95" i="45"/>
  <c r="D106" i="45"/>
  <c r="E106" i="45"/>
  <c r="F106" i="45"/>
  <c r="F107" i="45" s="1"/>
  <c r="F108" i="45" s="1"/>
  <c r="G106" i="45"/>
  <c r="G107" i="45" s="1"/>
  <c r="D112" i="45"/>
  <c r="E112" i="45"/>
  <c r="F112" i="45"/>
  <c r="G112" i="45"/>
  <c r="D117" i="45"/>
  <c r="E117" i="45"/>
  <c r="F117" i="45"/>
  <c r="G117" i="45"/>
  <c r="D121" i="45"/>
  <c r="D159" i="45" s="1"/>
  <c r="D161" i="45" s="1"/>
  <c r="E121" i="45"/>
  <c r="E159" i="45" s="1"/>
  <c r="E161" i="45" s="1"/>
  <c r="F121" i="45"/>
  <c r="F159" i="45" s="1"/>
  <c r="F161" i="45" s="1"/>
  <c r="G121" i="45"/>
  <c r="D134" i="45"/>
  <c r="E134" i="45"/>
  <c r="F134" i="45"/>
  <c r="G134" i="45"/>
  <c r="D140" i="45"/>
  <c r="E140" i="45"/>
  <c r="F140" i="45"/>
  <c r="G140" i="45"/>
  <c r="D156" i="45"/>
  <c r="E156" i="45"/>
  <c r="F156" i="45"/>
  <c r="G156" i="45"/>
  <c r="G159" i="45"/>
  <c r="G161" i="45" s="1"/>
  <c r="D163" i="45"/>
  <c r="E163" i="45"/>
  <c r="F163" i="45"/>
  <c r="G163" i="45"/>
  <c r="D166" i="45"/>
  <c r="D168" i="45"/>
  <c r="E168" i="45"/>
  <c r="F168" i="45"/>
  <c r="G168" i="45"/>
  <c r="D170" i="45"/>
  <c r="E170" i="45"/>
  <c r="F170" i="45"/>
  <c r="G170" i="45"/>
  <c r="D171" i="45"/>
  <c r="E171" i="45"/>
  <c r="F171" i="45"/>
  <c r="G171" i="45"/>
  <c r="D177" i="45"/>
  <c r="E177" i="45"/>
  <c r="F177" i="45"/>
  <c r="G177" i="45"/>
  <c r="G157" i="45" s="1"/>
  <c r="D180" i="45"/>
  <c r="E180" i="45"/>
  <c r="F180" i="45"/>
  <c r="G180" i="45"/>
  <c r="G165" i="45" s="1"/>
  <c r="D181" i="45"/>
  <c r="E181" i="45"/>
  <c r="E182" i="45" s="1"/>
  <c r="F181" i="45"/>
  <c r="F185" i="45" s="1"/>
  <c r="G181" i="45"/>
  <c r="G182" i="45" s="1"/>
  <c r="D183" i="45"/>
  <c r="D184" i="45" s="1"/>
  <c r="D172" i="45" s="1"/>
  <c r="E183" i="45"/>
  <c r="F183" i="45"/>
  <c r="G183" i="45"/>
  <c r="G184" i="45" s="1"/>
  <c r="G172" i="45" s="1"/>
  <c r="G185" i="45"/>
  <c r="D21" i="44"/>
  <c r="E21" i="44"/>
  <c r="E78" i="44" s="1"/>
  <c r="F21" i="44"/>
  <c r="F78" i="44" s="1"/>
  <c r="F178" i="44" s="1"/>
  <c r="G21" i="44"/>
  <c r="D34" i="44"/>
  <c r="D36" i="44" s="1"/>
  <c r="D35" i="44"/>
  <c r="E36" i="44"/>
  <c r="E79" i="44" s="1"/>
  <c r="F36" i="44"/>
  <c r="G36" i="44"/>
  <c r="G79" i="44" s="1"/>
  <c r="D55" i="44"/>
  <c r="D166" i="44" s="1"/>
  <c r="E55" i="44"/>
  <c r="E166" i="44" s="1"/>
  <c r="F55" i="44"/>
  <c r="G55" i="44"/>
  <c r="G166" i="44" s="1"/>
  <c r="F74" i="44"/>
  <c r="F76" i="44" s="1"/>
  <c r="D76" i="44"/>
  <c r="E76" i="44"/>
  <c r="G76" i="44"/>
  <c r="D78" i="44"/>
  <c r="D178" i="44" s="1"/>
  <c r="D95" i="44"/>
  <c r="E95" i="44"/>
  <c r="F95" i="44"/>
  <c r="G95" i="44"/>
  <c r="D106" i="44"/>
  <c r="D107" i="44" s="1"/>
  <c r="D108" i="44" s="1"/>
  <c r="E106" i="44"/>
  <c r="F106" i="44"/>
  <c r="F107" i="44" s="1"/>
  <c r="F108" i="44" s="1"/>
  <c r="G106" i="44"/>
  <c r="D112" i="44"/>
  <c r="E112" i="44"/>
  <c r="F112" i="44"/>
  <c r="G112" i="44"/>
  <c r="D117" i="44"/>
  <c r="E117" i="44"/>
  <c r="F117" i="44"/>
  <c r="G117" i="44"/>
  <c r="D121" i="44"/>
  <c r="D159" i="44" s="1"/>
  <c r="D161" i="44" s="1"/>
  <c r="E121" i="44"/>
  <c r="G121" i="44"/>
  <c r="G159" i="44" s="1"/>
  <c r="G161" i="44" s="1"/>
  <c r="F122" i="44"/>
  <c r="F121" i="44" s="1"/>
  <c r="F159" i="44" s="1"/>
  <c r="F161" i="44" s="1"/>
  <c r="D134" i="44"/>
  <c r="E134" i="44"/>
  <c r="F134" i="44"/>
  <c r="G134" i="44"/>
  <c r="D140" i="44"/>
  <c r="E140" i="44"/>
  <c r="F140" i="44"/>
  <c r="G140" i="44"/>
  <c r="D156" i="44"/>
  <c r="E156" i="44"/>
  <c r="F156" i="44"/>
  <c r="G156" i="44"/>
  <c r="E159" i="44"/>
  <c r="E161" i="44" s="1"/>
  <c r="D163" i="44"/>
  <c r="E163" i="44"/>
  <c r="F163" i="44"/>
  <c r="G163" i="44"/>
  <c r="F166" i="44"/>
  <c r="D168" i="44"/>
  <c r="E168" i="44"/>
  <c r="F168" i="44"/>
  <c r="G168" i="44"/>
  <c r="D170" i="44"/>
  <c r="E170" i="44"/>
  <c r="F170" i="44"/>
  <c r="G170" i="44"/>
  <c r="D171" i="44"/>
  <c r="E171" i="44"/>
  <c r="F171" i="44"/>
  <c r="G171" i="44"/>
  <c r="D177" i="44"/>
  <c r="E177" i="44"/>
  <c r="F177" i="44"/>
  <c r="G177" i="44"/>
  <c r="E178" i="44"/>
  <c r="D180" i="44"/>
  <c r="E180" i="44"/>
  <c r="F180" i="44"/>
  <c r="G180" i="44"/>
  <c r="D181" i="44"/>
  <c r="E181" i="44"/>
  <c r="F181" i="44"/>
  <c r="G181" i="44"/>
  <c r="D183" i="44"/>
  <c r="E183" i="44"/>
  <c r="F183" i="44"/>
  <c r="F184" i="44" s="1"/>
  <c r="F172" i="44" s="1"/>
  <c r="G183" i="44"/>
  <c r="G4" i="43"/>
  <c r="D21" i="43"/>
  <c r="E21" i="43"/>
  <c r="E78" i="43" s="1"/>
  <c r="E178" i="43" s="1"/>
  <c r="F21" i="43"/>
  <c r="G25" i="43"/>
  <c r="G181" i="43" s="1"/>
  <c r="D36" i="43"/>
  <c r="E36" i="43"/>
  <c r="F36" i="43"/>
  <c r="F79" i="43" s="1"/>
  <c r="G36" i="43"/>
  <c r="G79" i="43" s="1"/>
  <c r="D55" i="43"/>
  <c r="D166" i="43" s="1"/>
  <c r="E55" i="43"/>
  <c r="E166" i="43" s="1"/>
  <c r="F55" i="43"/>
  <c r="F166" i="43" s="1"/>
  <c r="G55" i="43"/>
  <c r="D76" i="43"/>
  <c r="E76" i="43"/>
  <c r="F76" i="43"/>
  <c r="G76" i="43"/>
  <c r="D79" i="43"/>
  <c r="D95" i="43"/>
  <c r="E95" i="43"/>
  <c r="F95" i="43"/>
  <c r="G95" i="43"/>
  <c r="D106" i="43"/>
  <c r="E106" i="43"/>
  <c r="E107" i="43" s="1"/>
  <c r="E152" i="43" s="1"/>
  <c r="F106" i="43"/>
  <c r="G106" i="43"/>
  <c r="G107" i="43" s="1"/>
  <c r="G108" i="43" s="1"/>
  <c r="D112" i="43"/>
  <c r="E112" i="43"/>
  <c r="F112" i="43"/>
  <c r="G113" i="43"/>
  <c r="G112" i="43" s="1"/>
  <c r="D117" i="43"/>
  <c r="E117" i="43"/>
  <c r="F117" i="43"/>
  <c r="G117" i="43"/>
  <c r="D121" i="43"/>
  <c r="D159" i="43" s="1"/>
  <c r="E121" i="43"/>
  <c r="E159" i="43" s="1"/>
  <c r="F121" i="43"/>
  <c r="F159" i="43" s="1"/>
  <c r="G121" i="43"/>
  <c r="D134" i="43"/>
  <c r="E134" i="43"/>
  <c r="E133" i="43" s="1"/>
  <c r="E147" i="43" s="1"/>
  <c r="F134" i="43"/>
  <c r="G134" i="43"/>
  <c r="D140" i="43"/>
  <c r="D133" i="43" s="1"/>
  <c r="E140" i="43"/>
  <c r="F140" i="43"/>
  <c r="G140" i="43"/>
  <c r="G145" i="43"/>
  <c r="G159" i="43" s="1"/>
  <c r="G161" i="43" s="1"/>
  <c r="D156" i="43"/>
  <c r="E156" i="43"/>
  <c r="F156" i="43"/>
  <c r="G156" i="43"/>
  <c r="D160" i="43"/>
  <c r="E160" i="43"/>
  <c r="F160" i="43"/>
  <c r="D161" i="43"/>
  <c r="E161" i="43"/>
  <c r="F161" i="43"/>
  <c r="D162" i="43"/>
  <c r="E162" i="43"/>
  <c r="F162" i="43"/>
  <c r="D163" i="43"/>
  <c r="E163" i="43"/>
  <c r="F163" i="43"/>
  <c r="G163" i="43"/>
  <c r="E164" i="43"/>
  <c r="G166" i="43"/>
  <c r="D168" i="43"/>
  <c r="E168" i="43"/>
  <c r="F168" i="43"/>
  <c r="G168" i="43"/>
  <c r="D170" i="43"/>
  <c r="E170" i="43"/>
  <c r="F170" i="43"/>
  <c r="G170" i="43"/>
  <c r="D171" i="43"/>
  <c r="E171" i="43"/>
  <c r="F171" i="43"/>
  <c r="G171" i="43"/>
  <c r="D177" i="43"/>
  <c r="D151" i="43" s="1"/>
  <c r="E177" i="43"/>
  <c r="E157" i="43" s="1"/>
  <c r="F177" i="43"/>
  <c r="F151" i="43" s="1"/>
  <c r="G177" i="43"/>
  <c r="D180" i="43"/>
  <c r="E180" i="43"/>
  <c r="F180" i="43"/>
  <c r="G180" i="43"/>
  <c r="D181" i="43"/>
  <c r="E181" i="43"/>
  <c r="E182" i="43" s="1"/>
  <c r="F181" i="43"/>
  <c r="F182" i="43" s="1"/>
  <c r="D183" i="43"/>
  <c r="E183" i="43"/>
  <c r="E184" i="43" s="1"/>
  <c r="F183" i="43"/>
  <c r="F184" i="43" s="1"/>
  <c r="F172" i="43" s="1"/>
  <c r="D21" i="42"/>
  <c r="E21" i="42"/>
  <c r="E78" i="42" s="1"/>
  <c r="E178" i="42" s="1"/>
  <c r="F21" i="42"/>
  <c r="F78" i="42" s="1"/>
  <c r="F178" i="42" s="1"/>
  <c r="G21" i="42"/>
  <c r="G78" i="42" s="1"/>
  <c r="G178" i="42" s="1"/>
  <c r="D36" i="42"/>
  <c r="D79" i="42" s="1"/>
  <c r="E36" i="42"/>
  <c r="F36" i="42"/>
  <c r="F37" i="42" s="1"/>
  <c r="G36" i="42"/>
  <c r="G79" i="42" s="1"/>
  <c r="D55" i="42"/>
  <c r="D166" i="42" s="1"/>
  <c r="E55" i="42"/>
  <c r="E166" i="42" s="1"/>
  <c r="F55" i="42"/>
  <c r="G55" i="42"/>
  <c r="D76" i="42"/>
  <c r="E76" i="42"/>
  <c r="F76" i="42"/>
  <c r="G76" i="42"/>
  <c r="D95" i="42"/>
  <c r="E95" i="42"/>
  <c r="F95" i="42"/>
  <c r="G95" i="42"/>
  <c r="D106" i="42"/>
  <c r="D107" i="42" s="1"/>
  <c r="E106" i="42"/>
  <c r="F106" i="42"/>
  <c r="F107" i="42" s="1"/>
  <c r="F108" i="42" s="1"/>
  <c r="G106" i="42"/>
  <c r="D112" i="42"/>
  <c r="E112" i="42"/>
  <c r="F112" i="42"/>
  <c r="G112" i="42"/>
  <c r="D117" i="42"/>
  <c r="E117" i="42"/>
  <c r="F117" i="42"/>
  <c r="G117" i="42"/>
  <c r="D121" i="42"/>
  <c r="D159" i="42" s="1"/>
  <c r="E121" i="42"/>
  <c r="E159" i="42" s="1"/>
  <c r="E161" i="42" s="1"/>
  <c r="F121" i="42"/>
  <c r="F159" i="42" s="1"/>
  <c r="F161" i="42" s="1"/>
  <c r="G121" i="42"/>
  <c r="D134" i="42"/>
  <c r="E134" i="42"/>
  <c r="F134" i="42"/>
  <c r="G134" i="42"/>
  <c r="D140" i="42"/>
  <c r="E140" i="42"/>
  <c r="F140" i="42"/>
  <c r="G140" i="42"/>
  <c r="G133" i="42" s="1"/>
  <c r="D156" i="42"/>
  <c r="E156" i="42"/>
  <c r="F156" i="42"/>
  <c r="G156" i="42"/>
  <c r="G159" i="42"/>
  <c r="G161" i="42" s="1"/>
  <c r="D160" i="42"/>
  <c r="D161" i="42"/>
  <c r="D162" i="42"/>
  <c r="D163" i="42"/>
  <c r="E163" i="42"/>
  <c r="F163" i="42"/>
  <c r="G163" i="42"/>
  <c r="G164" i="42"/>
  <c r="F166" i="42"/>
  <c r="D168" i="42"/>
  <c r="E168" i="42"/>
  <c r="F168" i="42"/>
  <c r="G168" i="42"/>
  <c r="D170" i="42"/>
  <c r="E170" i="42"/>
  <c r="F170" i="42"/>
  <c r="G170" i="42"/>
  <c r="D171" i="42"/>
  <c r="E171" i="42"/>
  <c r="F171" i="42"/>
  <c r="G171" i="42"/>
  <c r="D177" i="42"/>
  <c r="D151" i="42" s="1"/>
  <c r="E177" i="42"/>
  <c r="F177" i="42"/>
  <c r="G177" i="42"/>
  <c r="D180" i="42"/>
  <c r="E180" i="42"/>
  <c r="E165" i="42" s="1"/>
  <c r="F180" i="42"/>
  <c r="G180" i="42"/>
  <c r="D181" i="42"/>
  <c r="E181" i="42"/>
  <c r="F181" i="42"/>
  <c r="F182" i="42" s="1"/>
  <c r="G181" i="42"/>
  <c r="D182" i="42"/>
  <c r="D183" i="42"/>
  <c r="D184" i="42" s="1"/>
  <c r="E183" i="42"/>
  <c r="F183" i="42"/>
  <c r="G183" i="42"/>
  <c r="D111" i="44" l="1"/>
  <c r="E107" i="45"/>
  <c r="E108" i="45" s="1"/>
  <c r="F165" i="47"/>
  <c r="D186" i="51"/>
  <c r="F107" i="52"/>
  <c r="F108" i="52" s="1"/>
  <c r="D133" i="54"/>
  <c r="D158" i="54" s="1"/>
  <c r="F177" i="54"/>
  <c r="F133" i="56"/>
  <c r="F158" i="56" s="1"/>
  <c r="D111" i="42"/>
  <c r="D184" i="43"/>
  <c r="D172" i="43" s="1"/>
  <c r="D95" i="46"/>
  <c r="D182" i="48"/>
  <c r="D186" i="48" s="1"/>
  <c r="F185" i="50"/>
  <c r="F182" i="56"/>
  <c r="G184" i="61"/>
  <c r="G172" i="61" s="1"/>
  <c r="G107" i="42"/>
  <c r="G108" i="42" s="1"/>
  <c r="G133" i="43"/>
  <c r="G147" i="43" s="1"/>
  <c r="E185" i="44"/>
  <c r="E37" i="44"/>
  <c r="D151" i="45"/>
  <c r="E184" i="46"/>
  <c r="E172" i="46" s="1"/>
  <c r="G37" i="47"/>
  <c r="G56" i="47" s="1"/>
  <c r="G77" i="47" s="1"/>
  <c r="G150" i="47" s="1"/>
  <c r="G151" i="47" s="1"/>
  <c r="D56" i="47"/>
  <c r="G165" i="48"/>
  <c r="E185" i="52"/>
  <c r="E184" i="52"/>
  <c r="E172" i="52" s="1"/>
  <c r="F182" i="53"/>
  <c r="G133" i="54"/>
  <c r="G158" i="54" s="1"/>
  <c r="E36" i="54"/>
  <c r="E182" i="56"/>
  <c r="E186" i="56" s="1"/>
  <c r="D133" i="56"/>
  <c r="D107" i="56"/>
  <c r="D108" i="56" s="1"/>
  <c r="D171" i="57"/>
  <c r="G107" i="57"/>
  <c r="E111" i="60"/>
  <c r="G182" i="61"/>
  <c r="G186" i="61" s="1"/>
  <c r="F179" i="61"/>
  <c r="F133" i="61"/>
  <c r="F158" i="61" s="1"/>
  <c r="F56" i="42"/>
  <c r="F77" i="42" s="1"/>
  <c r="F150" i="42" s="1"/>
  <c r="D185" i="43"/>
  <c r="G107" i="44"/>
  <c r="G108" i="44" s="1"/>
  <c r="E184" i="45"/>
  <c r="E172" i="45" s="1"/>
  <c r="D111" i="45"/>
  <c r="G133" i="46"/>
  <c r="G147" i="46" s="1"/>
  <c r="G107" i="46"/>
  <c r="E107" i="47"/>
  <c r="E108" i="47" s="1"/>
  <c r="D107" i="50"/>
  <c r="D108" i="50" s="1"/>
  <c r="F185" i="53"/>
  <c r="E133" i="53"/>
  <c r="F184" i="57"/>
  <c r="F172" i="57" s="1"/>
  <c r="G133" i="57"/>
  <c r="D133" i="58"/>
  <c r="D158" i="58" s="1"/>
  <c r="F107" i="60"/>
  <c r="F108" i="60" s="1"/>
  <c r="E37" i="60"/>
  <c r="E56" i="60" s="1"/>
  <c r="E77" i="60" s="1"/>
  <c r="E150" i="60" s="1"/>
  <c r="E154" i="60" s="1"/>
  <c r="G107" i="61"/>
  <c r="G108" i="61" s="1"/>
  <c r="G185" i="42"/>
  <c r="F111" i="43"/>
  <c r="F167" i="43" s="1"/>
  <c r="F107" i="43"/>
  <c r="F108" i="43" s="1"/>
  <c r="F153" i="43" s="1"/>
  <c r="D184" i="44"/>
  <c r="D172" i="44" s="1"/>
  <c r="E107" i="44"/>
  <c r="E108" i="44" s="1"/>
  <c r="F184" i="45"/>
  <c r="F172" i="45" s="1"/>
  <c r="E133" i="46"/>
  <c r="E147" i="46" s="1"/>
  <c r="E111" i="46"/>
  <c r="G111" i="47"/>
  <c r="G131" i="47" s="1"/>
  <c r="E182" i="48"/>
  <c r="F182" i="48"/>
  <c r="G37" i="48"/>
  <c r="E111" i="49"/>
  <c r="E167" i="49" s="1"/>
  <c r="F179" i="50"/>
  <c r="G37" i="50"/>
  <c r="F37" i="51"/>
  <c r="D182" i="52"/>
  <c r="G133" i="53"/>
  <c r="D184" i="56"/>
  <c r="D172" i="56" s="1"/>
  <c r="E133" i="57"/>
  <c r="G37" i="57"/>
  <c r="G56" i="57" s="1"/>
  <c r="G77" i="57" s="1"/>
  <c r="G150" i="57" s="1"/>
  <c r="F184" i="58"/>
  <c r="F172" i="58" s="1"/>
  <c r="F133" i="58"/>
  <c r="F107" i="58"/>
  <c r="F184" i="59"/>
  <c r="F172" i="59" s="1"/>
  <c r="D107" i="59"/>
  <c r="D108" i="59" s="1"/>
  <c r="E182" i="60"/>
  <c r="F184" i="60"/>
  <c r="F172" i="60" s="1"/>
  <c r="D107" i="60"/>
  <c r="D152" i="60" s="1"/>
  <c r="G185" i="61"/>
  <c r="E107" i="61"/>
  <c r="E108" i="61" s="1"/>
  <c r="E153" i="61" s="1"/>
  <c r="F184" i="62"/>
  <c r="F172" i="62" s="1"/>
  <c r="F182" i="62"/>
  <c r="G184" i="62"/>
  <c r="G172" i="62" s="1"/>
  <c r="F133" i="62"/>
  <c r="G185" i="62"/>
  <c r="E184" i="62"/>
  <c r="E172" i="62" s="1"/>
  <c r="D181" i="62"/>
  <c r="D185" i="62" s="1"/>
  <c r="F169" i="62"/>
  <c r="D107" i="51"/>
  <c r="D108" i="51" s="1"/>
  <c r="D186" i="52"/>
  <c r="G177" i="49"/>
  <c r="G157" i="49" s="1"/>
  <c r="G181" i="49"/>
  <c r="G182" i="49" s="1"/>
  <c r="G186" i="49" s="1"/>
  <c r="E182" i="42"/>
  <c r="F79" i="42"/>
  <c r="E179" i="42"/>
  <c r="G184" i="44"/>
  <c r="G172" i="44" s="1"/>
  <c r="F177" i="46"/>
  <c r="G167" i="47"/>
  <c r="D79" i="48"/>
  <c r="F185" i="51"/>
  <c r="D185" i="52"/>
  <c r="D177" i="54"/>
  <c r="D169" i="54" s="1"/>
  <c r="E164" i="44"/>
  <c r="E179" i="44"/>
  <c r="E78" i="48"/>
  <c r="E178" i="48" s="1"/>
  <c r="E164" i="48" s="1"/>
  <c r="E37" i="48"/>
  <c r="D37" i="52"/>
  <c r="D78" i="52"/>
  <c r="D178" i="52" s="1"/>
  <c r="D164" i="52" s="1"/>
  <c r="D133" i="42"/>
  <c r="E185" i="43"/>
  <c r="F185" i="42"/>
  <c r="F111" i="42"/>
  <c r="E107" i="42"/>
  <c r="E108" i="42" s="1"/>
  <c r="E184" i="42"/>
  <c r="E172" i="42" s="1"/>
  <c r="G182" i="42"/>
  <c r="E157" i="42"/>
  <c r="F133" i="42"/>
  <c r="F147" i="42" s="1"/>
  <c r="E111" i="42"/>
  <c r="E167" i="42" s="1"/>
  <c r="G169" i="43"/>
  <c r="F182" i="51"/>
  <c r="F186" i="51" s="1"/>
  <c r="D56" i="51"/>
  <c r="D77" i="51" s="1"/>
  <c r="D150" i="51" s="1"/>
  <c r="D154" i="51" s="1"/>
  <c r="F185" i="57"/>
  <c r="F182" i="57"/>
  <c r="F186" i="57" s="1"/>
  <c r="E182" i="44"/>
  <c r="E133" i="44"/>
  <c r="E147" i="44" s="1"/>
  <c r="F182" i="45"/>
  <c r="F186" i="45" s="1"/>
  <c r="D133" i="45"/>
  <c r="D147" i="45" s="1"/>
  <c r="D107" i="45"/>
  <c r="D108" i="45" s="1"/>
  <c r="D155" i="45" s="1"/>
  <c r="G165" i="47"/>
  <c r="E111" i="47"/>
  <c r="F133" i="48"/>
  <c r="F147" i="48" s="1"/>
  <c r="E107" i="48"/>
  <c r="E108" i="48" s="1"/>
  <c r="E182" i="49"/>
  <c r="G133" i="49"/>
  <c r="E184" i="51"/>
  <c r="E172" i="51" s="1"/>
  <c r="D133" i="51"/>
  <c r="D157" i="53"/>
  <c r="D165" i="53"/>
  <c r="F164" i="56"/>
  <c r="F179" i="56"/>
  <c r="G111" i="56"/>
  <c r="G131" i="56" s="1"/>
  <c r="G185" i="59"/>
  <c r="G184" i="59"/>
  <c r="G172" i="59" s="1"/>
  <c r="D79" i="60"/>
  <c r="D37" i="60"/>
  <c r="D56" i="60" s="1"/>
  <c r="D77" i="60" s="1"/>
  <c r="D150" i="60" s="1"/>
  <c r="D107" i="43"/>
  <c r="E186" i="45"/>
  <c r="F111" i="45"/>
  <c r="D107" i="46"/>
  <c r="D108" i="46" s="1"/>
  <c r="D36" i="46"/>
  <c r="D79" i="46" s="1"/>
  <c r="G183" i="46"/>
  <c r="G184" i="46" s="1"/>
  <c r="G172" i="46" s="1"/>
  <c r="E184" i="48"/>
  <c r="E172" i="48" s="1"/>
  <c r="F186" i="48"/>
  <c r="D184" i="50"/>
  <c r="D172" i="50" s="1"/>
  <c r="G133" i="50"/>
  <c r="F111" i="50"/>
  <c r="F131" i="50" s="1"/>
  <c r="F107" i="50"/>
  <c r="F108" i="50" s="1"/>
  <c r="E111" i="51"/>
  <c r="E167" i="51" s="1"/>
  <c r="F56" i="51"/>
  <c r="F77" i="51" s="1"/>
  <c r="F150" i="51" s="1"/>
  <c r="G185" i="53"/>
  <c r="G184" i="53"/>
  <c r="G172" i="53" s="1"/>
  <c r="E185" i="60"/>
  <c r="F185" i="44"/>
  <c r="G165" i="44"/>
  <c r="G133" i="44"/>
  <c r="F79" i="44"/>
  <c r="E185" i="45"/>
  <c r="D182" i="45"/>
  <c r="D186" i="45" s="1"/>
  <c r="F133" i="45"/>
  <c r="E111" i="45"/>
  <c r="E167" i="45" s="1"/>
  <c r="D111" i="46"/>
  <c r="E107" i="46"/>
  <c r="E108" i="46" s="1"/>
  <c r="F107" i="46"/>
  <c r="G185" i="47"/>
  <c r="F169" i="47"/>
  <c r="G133" i="47"/>
  <c r="G147" i="47" s="1"/>
  <c r="F107" i="47"/>
  <c r="F108" i="47" s="1"/>
  <c r="D185" i="48"/>
  <c r="F179" i="48"/>
  <c r="D133" i="48"/>
  <c r="D158" i="48" s="1"/>
  <c r="F107" i="48"/>
  <c r="F108" i="48" s="1"/>
  <c r="D182" i="49"/>
  <c r="D186" i="49" s="1"/>
  <c r="D184" i="49"/>
  <c r="D172" i="49" s="1"/>
  <c r="E133" i="49"/>
  <c r="E158" i="49" s="1"/>
  <c r="E107" i="49"/>
  <c r="E108" i="49" s="1"/>
  <c r="E165" i="50"/>
  <c r="G182" i="51"/>
  <c r="F133" i="51"/>
  <c r="F158" i="51" s="1"/>
  <c r="F107" i="51"/>
  <c r="F157" i="53"/>
  <c r="E184" i="54"/>
  <c r="E172" i="54" s="1"/>
  <c r="G166" i="57"/>
  <c r="E21" i="57"/>
  <c r="E78" i="57" s="1"/>
  <c r="E178" i="57" s="1"/>
  <c r="E179" i="57" s="1"/>
  <c r="E183" i="57"/>
  <c r="E186" i="58"/>
  <c r="E37" i="58"/>
  <c r="E56" i="58" s="1"/>
  <c r="E77" i="58" s="1"/>
  <c r="E150" i="58" s="1"/>
  <c r="E79" i="58"/>
  <c r="D177" i="59"/>
  <c r="D165" i="59" s="1"/>
  <c r="D181" i="59"/>
  <c r="D185" i="59" s="1"/>
  <c r="G184" i="52"/>
  <c r="G172" i="52" s="1"/>
  <c r="F111" i="52"/>
  <c r="F167" i="52" s="1"/>
  <c r="D185" i="53"/>
  <c r="F107" i="53"/>
  <c r="F108" i="53" s="1"/>
  <c r="D107" i="54"/>
  <c r="D108" i="54" s="1"/>
  <c r="E107" i="54"/>
  <c r="E108" i="54" s="1"/>
  <c r="F133" i="55"/>
  <c r="F147" i="55" s="1"/>
  <c r="D107" i="55"/>
  <c r="D108" i="55" s="1"/>
  <c r="D153" i="55" s="1"/>
  <c r="E107" i="55"/>
  <c r="E108" i="55" s="1"/>
  <c r="D182" i="56"/>
  <c r="G157" i="57"/>
  <c r="G182" i="57"/>
  <c r="G186" i="57" s="1"/>
  <c r="G184" i="57"/>
  <c r="G172" i="57" s="1"/>
  <c r="D185" i="58"/>
  <c r="F185" i="58"/>
  <c r="E111" i="58"/>
  <c r="G107" i="58"/>
  <c r="G108" i="58" s="1"/>
  <c r="G177" i="59"/>
  <c r="G165" i="59" s="1"/>
  <c r="E133" i="60"/>
  <c r="E182" i="61"/>
  <c r="E111" i="61"/>
  <c r="E167" i="61" s="1"/>
  <c r="F107" i="61"/>
  <c r="E133" i="62"/>
  <c r="E147" i="62" s="1"/>
  <c r="E107" i="62"/>
  <c r="E108" i="62" s="1"/>
  <c r="F165" i="53"/>
  <c r="E56" i="53"/>
  <c r="E184" i="59"/>
  <c r="E172" i="59" s="1"/>
  <c r="G185" i="60"/>
  <c r="G111" i="52"/>
  <c r="G167" i="52" s="1"/>
  <c r="D111" i="52"/>
  <c r="D158" i="52" s="1"/>
  <c r="F169" i="53"/>
  <c r="D107" i="53"/>
  <c r="D108" i="53" s="1"/>
  <c r="E182" i="54"/>
  <c r="E186" i="54" s="1"/>
  <c r="F184" i="54"/>
  <c r="F172" i="54" s="1"/>
  <c r="F107" i="54"/>
  <c r="F108" i="54" s="1"/>
  <c r="F184" i="55"/>
  <c r="F172" i="55" s="1"/>
  <c r="G184" i="55"/>
  <c r="G172" i="55" s="1"/>
  <c r="D133" i="55"/>
  <c r="D147" i="55" s="1"/>
  <c r="F107" i="55"/>
  <c r="F108" i="55" s="1"/>
  <c r="E111" i="56"/>
  <c r="E107" i="56"/>
  <c r="E108" i="56" s="1"/>
  <c r="E184" i="57"/>
  <c r="E172" i="57" s="1"/>
  <c r="D111" i="57"/>
  <c r="G133" i="58"/>
  <c r="G147" i="58" s="1"/>
  <c r="G111" i="58"/>
  <c r="G107" i="59"/>
  <c r="G108" i="59" s="1"/>
  <c r="D111" i="60"/>
  <c r="E107" i="60"/>
  <c r="E108" i="60" s="1"/>
  <c r="D184" i="61"/>
  <c r="D172" i="61" s="1"/>
  <c r="F111" i="61"/>
  <c r="D111" i="61"/>
  <c r="D167" i="61" s="1"/>
  <c r="F77" i="61"/>
  <c r="F150" i="61" s="1"/>
  <c r="D184" i="62"/>
  <c r="D172" i="62" s="1"/>
  <c r="D152" i="43"/>
  <c r="D108" i="43"/>
  <c r="D153" i="43" s="1"/>
  <c r="D172" i="42"/>
  <c r="D186" i="42"/>
  <c r="F152" i="51"/>
  <c r="F108" i="51"/>
  <c r="F153" i="51" s="1"/>
  <c r="F186" i="43"/>
  <c r="F152" i="43"/>
  <c r="E131" i="50"/>
  <c r="E167" i="50"/>
  <c r="E172" i="43"/>
  <c r="E186" i="43"/>
  <c r="E167" i="46"/>
  <c r="E131" i="46"/>
  <c r="D108" i="42"/>
  <c r="D153" i="42" s="1"/>
  <c r="D152" i="42"/>
  <c r="E185" i="42"/>
  <c r="F184" i="42"/>
  <c r="F172" i="42" s="1"/>
  <c r="F151" i="42"/>
  <c r="D157" i="42"/>
  <c r="D131" i="42"/>
  <c r="G37" i="42"/>
  <c r="G56" i="42" s="1"/>
  <c r="G77" i="42" s="1"/>
  <c r="G150" i="42" s="1"/>
  <c r="D185" i="44"/>
  <c r="D182" i="44"/>
  <c r="D186" i="44" s="1"/>
  <c r="G186" i="45"/>
  <c r="G166" i="45"/>
  <c r="D177" i="46"/>
  <c r="D157" i="46" s="1"/>
  <c r="G180" i="46"/>
  <c r="D77" i="47"/>
  <c r="D150" i="47" s="1"/>
  <c r="D151" i="47" s="1"/>
  <c r="G184" i="48"/>
  <c r="G172" i="48" s="1"/>
  <c r="G186" i="48"/>
  <c r="F111" i="49"/>
  <c r="F184" i="50"/>
  <c r="F172" i="50" s="1"/>
  <c r="D164" i="50"/>
  <c r="D179" i="50"/>
  <c r="G157" i="50"/>
  <c r="G165" i="50"/>
  <c r="E182" i="50"/>
  <c r="F37" i="50"/>
  <c r="F56" i="50" s="1"/>
  <c r="F77" i="50" s="1"/>
  <c r="F150" i="50" s="1"/>
  <c r="F152" i="50" s="1"/>
  <c r="F79" i="50"/>
  <c r="D179" i="52"/>
  <c r="D179" i="54"/>
  <c r="D184" i="54"/>
  <c r="D172" i="54" s="1"/>
  <c r="E111" i="54"/>
  <c r="G111" i="55"/>
  <c r="G36" i="55"/>
  <c r="G177" i="55"/>
  <c r="E164" i="55"/>
  <c r="E179" i="55"/>
  <c r="D37" i="56"/>
  <c r="D56" i="56" s="1"/>
  <c r="D77" i="56" s="1"/>
  <c r="D150" i="56" s="1"/>
  <c r="D79" i="56"/>
  <c r="G78" i="56"/>
  <c r="G178" i="56" s="1"/>
  <c r="G37" i="56"/>
  <c r="G56" i="56" s="1"/>
  <c r="G77" i="56" s="1"/>
  <c r="G150" i="56" s="1"/>
  <c r="G154" i="56" s="1"/>
  <c r="D185" i="42"/>
  <c r="D165" i="42"/>
  <c r="G111" i="42"/>
  <c r="G158" i="42" s="1"/>
  <c r="D37" i="42"/>
  <c r="D56" i="42" s="1"/>
  <c r="D77" i="42" s="1"/>
  <c r="D150" i="42" s="1"/>
  <c r="F185" i="43"/>
  <c r="D182" i="43"/>
  <c r="G182" i="43"/>
  <c r="F182" i="44"/>
  <c r="F186" i="44" s="1"/>
  <c r="E133" i="45"/>
  <c r="E79" i="45"/>
  <c r="F37" i="45"/>
  <c r="F56" i="45" s="1"/>
  <c r="F77" i="45" s="1"/>
  <c r="F150" i="45" s="1"/>
  <c r="F155" i="45" s="1"/>
  <c r="D181" i="46"/>
  <c r="D185" i="46" s="1"/>
  <c r="F179" i="47"/>
  <c r="D164" i="47"/>
  <c r="D179" i="47"/>
  <c r="G184" i="47"/>
  <c r="G172" i="47" s="1"/>
  <c r="E157" i="47"/>
  <c r="D133" i="47"/>
  <c r="E37" i="47"/>
  <c r="G185" i="48"/>
  <c r="D56" i="48"/>
  <c r="D77" i="48" s="1"/>
  <c r="D150" i="48" s="1"/>
  <c r="D153" i="48" s="1"/>
  <c r="G147" i="49"/>
  <c r="D37" i="49"/>
  <c r="D56" i="49" s="1"/>
  <c r="D77" i="49" s="1"/>
  <c r="D150" i="49" s="1"/>
  <c r="D151" i="49" s="1"/>
  <c r="D79" i="49"/>
  <c r="D56" i="50"/>
  <c r="D77" i="50" s="1"/>
  <c r="D150" i="50" s="1"/>
  <c r="D151" i="50" s="1"/>
  <c r="E185" i="51"/>
  <c r="E79" i="51"/>
  <c r="E37" i="51"/>
  <c r="E131" i="52"/>
  <c r="E167" i="52"/>
  <c r="D56" i="52"/>
  <c r="D77" i="52" s="1"/>
  <c r="D150" i="52" s="1"/>
  <c r="D155" i="52" s="1"/>
  <c r="G164" i="53"/>
  <c r="G179" i="53"/>
  <c r="D152" i="55"/>
  <c r="E151" i="58"/>
  <c r="E157" i="58"/>
  <c r="F164" i="58"/>
  <c r="F179" i="58"/>
  <c r="D108" i="60"/>
  <c r="D153" i="60" s="1"/>
  <c r="E164" i="60"/>
  <c r="E179" i="60"/>
  <c r="G166" i="60"/>
  <c r="E164" i="61"/>
  <c r="E179" i="61"/>
  <c r="G79" i="45"/>
  <c r="G37" i="45"/>
  <c r="G56" i="45" s="1"/>
  <c r="G77" i="45" s="1"/>
  <c r="G150" i="45" s="1"/>
  <c r="F36" i="46"/>
  <c r="F79" i="46" s="1"/>
  <c r="F79" i="47"/>
  <c r="F37" i="47"/>
  <c r="F56" i="47" s="1"/>
  <c r="F77" i="47" s="1"/>
  <c r="F150" i="47" s="1"/>
  <c r="E186" i="48"/>
  <c r="F164" i="49"/>
  <c r="F179" i="49"/>
  <c r="D111" i="49"/>
  <c r="D158" i="49" s="1"/>
  <c r="E157" i="50"/>
  <c r="E169" i="50"/>
  <c r="G182" i="50"/>
  <c r="G186" i="51"/>
  <c r="G108" i="55"/>
  <c r="F37" i="56"/>
  <c r="F56" i="56" s="1"/>
  <c r="F77" i="56" s="1"/>
  <c r="F150" i="56" s="1"/>
  <c r="F154" i="56" s="1"/>
  <c r="F79" i="56"/>
  <c r="E78" i="56"/>
  <c r="E178" i="56" s="1"/>
  <c r="E179" i="56" s="1"/>
  <c r="E37" i="56"/>
  <c r="G165" i="42"/>
  <c r="G184" i="42"/>
  <c r="G172" i="42" s="1"/>
  <c r="E133" i="42"/>
  <c r="E169" i="43"/>
  <c r="G111" i="43"/>
  <c r="G131" i="43" s="1"/>
  <c r="E108" i="43"/>
  <c r="E153" i="43" s="1"/>
  <c r="E179" i="43"/>
  <c r="E56" i="44"/>
  <c r="E77" i="44" s="1"/>
  <c r="E150" i="44" s="1"/>
  <c r="E151" i="44" s="1"/>
  <c r="F37" i="44"/>
  <c r="F56" i="44" s="1"/>
  <c r="F77" i="44" s="1"/>
  <c r="F150" i="44" s="1"/>
  <c r="F152" i="44" s="1"/>
  <c r="D185" i="45"/>
  <c r="F179" i="45"/>
  <c r="G108" i="45"/>
  <c r="F181" i="46"/>
  <c r="D182" i="47"/>
  <c r="D186" i="47" s="1"/>
  <c r="D185" i="47"/>
  <c r="E165" i="47"/>
  <c r="E184" i="47"/>
  <c r="E172" i="47" s="1"/>
  <c r="E185" i="48"/>
  <c r="F166" i="48"/>
  <c r="F37" i="48"/>
  <c r="F56" i="48" s="1"/>
  <c r="F77" i="48" s="1"/>
  <c r="F150" i="48" s="1"/>
  <c r="F79" i="48"/>
  <c r="D179" i="49"/>
  <c r="E147" i="49"/>
  <c r="D107" i="49"/>
  <c r="G180" i="49"/>
  <c r="G165" i="49" s="1"/>
  <c r="G183" i="49"/>
  <c r="F186" i="50"/>
  <c r="G111" i="50"/>
  <c r="E37" i="50"/>
  <c r="E56" i="50" s="1"/>
  <c r="E77" i="50" s="1"/>
  <c r="E150" i="50" s="1"/>
  <c r="E154" i="50" s="1"/>
  <c r="G185" i="51"/>
  <c r="D164" i="51"/>
  <c r="D179" i="51"/>
  <c r="E107" i="51"/>
  <c r="E108" i="51" s="1"/>
  <c r="G79" i="51"/>
  <c r="G37" i="51"/>
  <c r="G56" i="51" s="1"/>
  <c r="G77" i="51" s="1"/>
  <c r="G150" i="51" s="1"/>
  <c r="F184" i="52"/>
  <c r="F185" i="52"/>
  <c r="E79" i="52"/>
  <c r="E37" i="52"/>
  <c r="E56" i="52" s="1"/>
  <c r="E77" i="52" s="1"/>
  <c r="E150" i="52" s="1"/>
  <c r="E155" i="52" s="1"/>
  <c r="F56" i="52"/>
  <c r="F77" i="52" s="1"/>
  <c r="F150" i="52" s="1"/>
  <c r="F152" i="52" s="1"/>
  <c r="E186" i="53"/>
  <c r="G182" i="54"/>
  <c r="G186" i="54" s="1"/>
  <c r="G185" i="54"/>
  <c r="G182" i="58"/>
  <c r="G186" i="58" s="1"/>
  <c r="G185" i="58"/>
  <c r="G169" i="58"/>
  <c r="G165" i="58"/>
  <c r="G157" i="58"/>
  <c r="E165" i="58"/>
  <c r="F108" i="58"/>
  <c r="G37" i="60"/>
  <c r="G56" i="60" s="1"/>
  <c r="G77" i="60" s="1"/>
  <c r="G150" i="60" s="1"/>
  <c r="G79" i="60"/>
  <c r="F37" i="60"/>
  <c r="F56" i="60" s="1"/>
  <c r="F77" i="60" s="1"/>
  <c r="F150" i="60" s="1"/>
  <c r="F154" i="60" s="1"/>
  <c r="F78" i="60"/>
  <c r="F178" i="60" s="1"/>
  <c r="F179" i="60" s="1"/>
  <c r="F133" i="43"/>
  <c r="F147" i="43" s="1"/>
  <c r="E111" i="43"/>
  <c r="E131" i="43" s="1"/>
  <c r="E37" i="43"/>
  <c r="G182" i="44"/>
  <c r="D133" i="44"/>
  <c r="D158" i="44" s="1"/>
  <c r="G111" i="44"/>
  <c r="E165" i="45"/>
  <c r="G133" i="45"/>
  <c r="G147" i="45" s="1"/>
  <c r="D133" i="46"/>
  <c r="D147" i="46" s="1"/>
  <c r="F184" i="47"/>
  <c r="F172" i="47" s="1"/>
  <c r="E182" i="47"/>
  <c r="E186" i="47" s="1"/>
  <c r="D111" i="47"/>
  <c r="D179" i="48"/>
  <c r="E133" i="48"/>
  <c r="D111" i="48"/>
  <c r="D167" i="48" s="1"/>
  <c r="G184" i="49"/>
  <c r="G172" i="49" s="1"/>
  <c r="G184" i="50"/>
  <c r="G172" i="50" s="1"/>
  <c r="E133" i="50"/>
  <c r="F133" i="50"/>
  <c r="F147" i="50" s="1"/>
  <c r="E133" i="51"/>
  <c r="D112" i="51"/>
  <c r="D111" i="51" s="1"/>
  <c r="D167" i="51" s="1"/>
  <c r="G111" i="51"/>
  <c r="F111" i="53"/>
  <c r="E37" i="54"/>
  <c r="E56" i="54" s="1"/>
  <c r="E77" i="54" s="1"/>
  <c r="E150" i="54" s="1"/>
  <c r="E79" i="54"/>
  <c r="D181" i="54"/>
  <c r="G184" i="56"/>
  <c r="G169" i="56"/>
  <c r="E56" i="56"/>
  <c r="E77" i="56" s="1"/>
  <c r="E150" i="56" s="1"/>
  <c r="E155" i="56" s="1"/>
  <c r="G164" i="60"/>
  <c r="G179" i="60"/>
  <c r="E165" i="44"/>
  <c r="E184" i="44"/>
  <c r="E172" i="44" s="1"/>
  <c r="E169" i="44"/>
  <c r="F133" i="44"/>
  <c r="E111" i="44"/>
  <c r="F133" i="46"/>
  <c r="F158" i="46" s="1"/>
  <c r="G111" i="46"/>
  <c r="D170" i="46"/>
  <c r="D184" i="46" s="1"/>
  <c r="D172" i="46" s="1"/>
  <c r="G182" i="47"/>
  <c r="G186" i="47" s="1"/>
  <c r="F111" i="48"/>
  <c r="F131" i="48" s="1"/>
  <c r="G169" i="49"/>
  <c r="D133" i="49"/>
  <c r="F121" i="49"/>
  <c r="F159" i="49" s="1"/>
  <c r="F161" i="49" s="1"/>
  <c r="G111" i="49"/>
  <c r="G36" i="49"/>
  <c r="G79" i="49" s="1"/>
  <c r="E184" i="50"/>
  <c r="E172" i="50" s="1"/>
  <c r="D133" i="50"/>
  <c r="D158" i="50" s="1"/>
  <c r="D182" i="53"/>
  <c r="D111" i="53"/>
  <c r="F36" i="54"/>
  <c r="F37" i="54" s="1"/>
  <c r="F56" i="54" s="1"/>
  <c r="F77" i="54" s="1"/>
  <c r="F150" i="54" s="1"/>
  <c r="F151" i="54" s="1"/>
  <c r="F181" i="54"/>
  <c r="D184" i="55"/>
  <c r="D172" i="55" s="1"/>
  <c r="D185" i="55"/>
  <c r="E111" i="55"/>
  <c r="D37" i="58"/>
  <c r="D56" i="58" s="1"/>
  <c r="D77" i="58" s="1"/>
  <c r="D150" i="58" s="1"/>
  <c r="D79" i="58"/>
  <c r="G37" i="58"/>
  <c r="G56" i="58" s="1"/>
  <c r="G77" i="58" s="1"/>
  <c r="G150" i="58" s="1"/>
  <c r="G151" i="58" s="1"/>
  <c r="G78" i="58"/>
  <c r="G178" i="58" s="1"/>
  <c r="D133" i="52"/>
  <c r="D184" i="53"/>
  <c r="D172" i="53" s="1"/>
  <c r="D169" i="53"/>
  <c r="F133" i="53"/>
  <c r="G111" i="53"/>
  <c r="G56" i="53"/>
  <c r="G77" i="53" s="1"/>
  <c r="G150" i="53" s="1"/>
  <c r="G154" i="53" s="1"/>
  <c r="E133" i="54"/>
  <c r="G169" i="55"/>
  <c r="E133" i="55"/>
  <c r="E177" i="55"/>
  <c r="E165" i="55" s="1"/>
  <c r="F184" i="56"/>
  <c r="D151" i="56"/>
  <c r="G147" i="57"/>
  <c r="G158" i="57"/>
  <c r="G162" i="57" s="1"/>
  <c r="E111" i="57"/>
  <c r="D37" i="59"/>
  <c r="D79" i="59"/>
  <c r="F36" i="59"/>
  <c r="F177" i="59"/>
  <c r="F181" i="59"/>
  <c r="D185" i="60"/>
  <c r="D184" i="60"/>
  <c r="G182" i="60"/>
  <c r="G186" i="60" s="1"/>
  <c r="F185" i="61"/>
  <c r="F184" i="61"/>
  <c r="F167" i="61"/>
  <c r="F131" i="61"/>
  <c r="G111" i="61"/>
  <c r="E79" i="61"/>
  <c r="E37" i="61"/>
  <c r="E56" i="61" s="1"/>
  <c r="E77" i="61" s="1"/>
  <c r="E150" i="61" s="1"/>
  <c r="D78" i="61"/>
  <c r="D178" i="61" s="1"/>
  <c r="D37" i="61"/>
  <c r="D56" i="61" s="1"/>
  <c r="D77" i="61" s="1"/>
  <c r="D150" i="61" s="1"/>
  <c r="E133" i="52"/>
  <c r="F133" i="52"/>
  <c r="F147" i="52" s="1"/>
  <c r="F184" i="53"/>
  <c r="F172" i="53" s="1"/>
  <c r="E111" i="53"/>
  <c r="D111" i="54"/>
  <c r="G111" i="54"/>
  <c r="G167" i="54" s="1"/>
  <c r="D186" i="56"/>
  <c r="G164" i="57"/>
  <c r="G179" i="57"/>
  <c r="G111" i="57"/>
  <c r="D177" i="57"/>
  <c r="D165" i="57" s="1"/>
  <c r="D181" i="57"/>
  <c r="F77" i="58"/>
  <c r="F150" i="58" s="1"/>
  <c r="G179" i="59"/>
  <c r="G164" i="59"/>
  <c r="E165" i="59"/>
  <c r="E157" i="59"/>
  <c r="E111" i="59"/>
  <c r="E167" i="59" s="1"/>
  <c r="E164" i="59"/>
  <c r="E179" i="59"/>
  <c r="E155" i="60"/>
  <c r="G164" i="61"/>
  <c r="G179" i="61"/>
  <c r="D111" i="56"/>
  <c r="D167" i="56" s="1"/>
  <c r="G165" i="57"/>
  <c r="F133" i="57"/>
  <c r="E106" i="57"/>
  <c r="E107" i="57" s="1"/>
  <c r="E108" i="57" s="1"/>
  <c r="F107" i="57"/>
  <c r="F108" i="57" s="1"/>
  <c r="D182" i="58"/>
  <c r="D186" i="58" s="1"/>
  <c r="E133" i="58"/>
  <c r="F111" i="58"/>
  <c r="F131" i="58" s="1"/>
  <c r="E179" i="58"/>
  <c r="G182" i="59"/>
  <c r="G133" i="59"/>
  <c r="D111" i="59"/>
  <c r="D167" i="59" s="1"/>
  <c r="E172" i="60"/>
  <c r="E186" i="60"/>
  <c r="G165" i="61"/>
  <c r="F107" i="62"/>
  <c r="F108" i="62" s="1"/>
  <c r="D37" i="62"/>
  <c r="D56" i="62" s="1"/>
  <c r="D77" i="62" s="1"/>
  <c r="D150" i="62" s="1"/>
  <c r="D153" i="62" s="1"/>
  <c r="D79" i="62"/>
  <c r="D177" i="62"/>
  <c r="G157" i="56"/>
  <c r="E133" i="56"/>
  <c r="F111" i="56"/>
  <c r="F167" i="56" s="1"/>
  <c r="D133" i="57"/>
  <c r="D147" i="57" s="1"/>
  <c r="D107" i="57"/>
  <c r="D152" i="57" s="1"/>
  <c r="F182" i="58"/>
  <c r="F186" i="58" s="1"/>
  <c r="D111" i="58"/>
  <c r="D167" i="58" s="1"/>
  <c r="E181" i="59"/>
  <c r="F182" i="60"/>
  <c r="F186" i="60" s="1"/>
  <c r="D133" i="60"/>
  <c r="D147" i="60" s="1"/>
  <c r="E152" i="60"/>
  <c r="E185" i="61"/>
  <c r="E184" i="61"/>
  <c r="E172" i="61" s="1"/>
  <c r="E133" i="61"/>
  <c r="E147" i="61" s="1"/>
  <c r="D133" i="62"/>
  <c r="F133" i="59"/>
  <c r="F158" i="59" s="1"/>
  <c r="G133" i="60"/>
  <c r="G147" i="60" s="1"/>
  <c r="F157" i="61"/>
  <c r="D133" i="61"/>
  <c r="D158" i="61" s="1"/>
  <c r="G133" i="62"/>
  <c r="D121" i="62"/>
  <c r="D159" i="62" s="1"/>
  <c r="D161" i="62" s="1"/>
  <c r="D111" i="62"/>
  <c r="G111" i="62"/>
  <c r="E133" i="59"/>
  <c r="E36" i="59"/>
  <c r="E37" i="59" s="1"/>
  <c r="E56" i="59" s="1"/>
  <c r="E77" i="59" s="1"/>
  <c r="E150" i="59" s="1"/>
  <c r="F157" i="60"/>
  <c r="G111" i="60"/>
  <c r="G167" i="60" s="1"/>
  <c r="G133" i="61"/>
  <c r="G147" i="61" s="1"/>
  <c r="G169" i="62"/>
  <c r="F111" i="62"/>
  <c r="F131" i="62" s="1"/>
  <c r="G147" i="42"/>
  <c r="G179" i="45"/>
  <c r="G164" i="45"/>
  <c r="G131" i="42"/>
  <c r="D147" i="43"/>
  <c r="F158" i="43"/>
  <c r="F111" i="44"/>
  <c r="E153" i="44"/>
  <c r="F147" i="45"/>
  <c r="F158" i="45"/>
  <c r="G111" i="45"/>
  <c r="F108" i="46"/>
  <c r="D157" i="47"/>
  <c r="D165" i="47"/>
  <c r="D169" i="47"/>
  <c r="E147" i="48"/>
  <c r="E179" i="50"/>
  <c r="E164" i="50"/>
  <c r="G164" i="51"/>
  <c r="G179" i="51"/>
  <c r="E167" i="54"/>
  <c r="E131" i="54"/>
  <c r="F167" i="62"/>
  <c r="G37" i="62"/>
  <c r="G56" i="62" s="1"/>
  <c r="G77" i="62" s="1"/>
  <c r="G150" i="62" s="1"/>
  <c r="G78" i="62"/>
  <c r="G178" i="62" s="1"/>
  <c r="G166" i="42"/>
  <c r="E37" i="42"/>
  <c r="E56" i="42" s="1"/>
  <c r="E77" i="42" s="1"/>
  <c r="E150" i="42" s="1"/>
  <c r="E79" i="42"/>
  <c r="G179" i="42"/>
  <c r="F131" i="43"/>
  <c r="E158" i="43"/>
  <c r="E79" i="43"/>
  <c r="D37" i="43"/>
  <c r="D56" i="43" s="1"/>
  <c r="D77" i="43" s="1"/>
  <c r="D150" i="43" s="1"/>
  <c r="D78" i="43"/>
  <c r="D178" i="43" s="1"/>
  <c r="G21" i="43"/>
  <c r="G183" i="43"/>
  <c r="G157" i="44"/>
  <c r="F153" i="44"/>
  <c r="F131" i="45"/>
  <c r="F167" i="45"/>
  <c r="E179" i="45"/>
  <c r="E164" i="45"/>
  <c r="E56" i="45"/>
  <c r="E77" i="45" s="1"/>
  <c r="E150" i="45" s="1"/>
  <c r="E151" i="45" s="1"/>
  <c r="E166" i="45"/>
  <c r="E185" i="46"/>
  <c r="E182" i="46"/>
  <c r="E186" i="46" s="1"/>
  <c r="E158" i="46"/>
  <c r="E160" i="46" s="1"/>
  <c r="F164" i="46"/>
  <c r="F179" i="46"/>
  <c r="D166" i="46"/>
  <c r="E177" i="46"/>
  <c r="G36" i="46"/>
  <c r="G181" i="46"/>
  <c r="D164" i="46"/>
  <c r="D179" i="46"/>
  <c r="E21" i="46"/>
  <c r="E78" i="46" s="1"/>
  <c r="E178" i="46" s="1"/>
  <c r="E167" i="47"/>
  <c r="E131" i="47"/>
  <c r="E56" i="47"/>
  <c r="E77" i="47" s="1"/>
  <c r="E150" i="47" s="1"/>
  <c r="E166" i="47"/>
  <c r="G164" i="47"/>
  <c r="G179" i="47"/>
  <c r="F167" i="49"/>
  <c r="G169" i="42"/>
  <c r="E164" i="42"/>
  <c r="G157" i="42"/>
  <c r="F164" i="42"/>
  <c r="F179" i="42"/>
  <c r="E56" i="43"/>
  <c r="E77" i="43" s="1"/>
  <c r="E150" i="43" s="1"/>
  <c r="G185" i="44"/>
  <c r="E155" i="44"/>
  <c r="D131" i="44"/>
  <c r="D167" i="44"/>
  <c r="F154" i="44"/>
  <c r="D37" i="44"/>
  <c r="D56" i="44" s="1"/>
  <c r="D77" i="44" s="1"/>
  <c r="D150" i="44" s="1"/>
  <c r="D153" i="44" s="1"/>
  <c r="D79" i="44"/>
  <c r="G78" i="44"/>
  <c r="G178" i="44" s="1"/>
  <c r="G37" i="44"/>
  <c r="G56" i="44" s="1"/>
  <c r="G77" i="44" s="1"/>
  <c r="G150" i="44" s="1"/>
  <c r="E169" i="45"/>
  <c r="E157" i="45"/>
  <c r="D158" i="46"/>
  <c r="G158" i="46"/>
  <c r="G160" i="46" s="1"/>
  <c r="F182" i="47"/>
  <c r="F185" i="47"/>
  <c r="F147" i="51"/>
  <c r="G131" i="53"/>
  <c r="G167" i="53"/>
  <c r="G155" i="53"/>
  <c r="F157" i="54"/>
  <c r="F165" i="54"/>
  <c r="F169" i="54"/>
  <c r="D167" i="42"/>
  <c r="E131" i="42"/>
  <c r="G157" i="43"/>
  <c r="G165" i="43"/>
  <c r="E157" i="44"/>
  <c r="D164" i="44"/>
  <c r="D179" i="44"/>
  <c r="E131" i="45"/>
  <c r="G177" i="46"/>
  <c r="D131" i="46"/>
  <c r="D167" i="46"/>
  <c r="G108" i="46"/>
  <c r="D37" i="46"/>
  <c r="D56" i="46" s="1"/>
  <c r="D77" i="46" s="1"/>
  <c r="D150" i="46" s="1"/>
  <c r="G157" i="48"/>
  <c r="G169" i="48"/>
  <c r="E157" i="49"/>
  <c r="E165" i="49"/>
  <c r="E169" i="49"/>
  <c r="E111" i="48"/>
  <c r="E158" i="48" s="1"/>
  <c r="E166" i="51"/>
  <c r="E56" i="51"/>
  <c r="E77" i="51" s="1"/>
  <c r="E150" i="51" s="1"/>
  <c r="G164" i="52"/>
  <c r="G179" i="52"/>
  <c r="F133" i="54"/>
  <c r="E147" i="56"/>
  <c r="E169" i="42"/>
  <c r="F131" i="42"/>
  <c r="F167" i="42"/>
  <c r="E151" i="43"/>
  <c r="D111" i="43"/>
  <c r="D151" i="44"/>
  <c r="G169" i="45"/>
  <c r="D164" i="45"/>
  <c r="D179" i="45"/>
  <c r="F154" i="45"/>
  <c r="F131" i="46"/>
  <c r="F167" i="46"/>
  <c r="E36" i="46"/>
  <c r="G21" i="46"/>
  <c r="G78" i="46" s="1"/>
  <c r="G178" i="46" s="1"/>
  <c r="E164" i="47"/>
  <c r="E179" i="47"/>
  <c r="G179" i="48"/>
  <c r="E37" i="49"/>
  <c r="E56" i="49" s="1"/>
  <c r="E77" i="49" s="1"/>
  <c r="E150" i="49" s="1"/>
  <c r="E79" i="49"/>
  <c r="F131" i="51"/>
  <c r="F167" i="51"/>
  <c r="E182" i="52"/>
  <c r="E186" i="52" s="1"/>
  <c r="E179" i="52"/>
  <c r="E164" i="52"/>
  <c r="G36" i="52"/>
  <c r="G181" i="52"/>
  <c r="G177" i="52"/>
  <c r="G164" i="55"/>
  <c r="G179" i="55"/>
  <c r="E147" i="55"/>
  <c r="F157" i="56"/>
  <c r="F165" i="56"/>
  <c r="F169" i="56"/>
  <c r="D131" i="57"/>
  <c r="D167" i="57"/>
  <c r="G167" i="57"/>
  <c r="G131" i="57"/>
  <c r="D147" i="47"/>
  <c r="D158" i="47"/>
  <c r="E185" i="49"/>
  <c r="E184" i="49"/>
  <c r="E172" i="49" s="1"/>
  <c r="D131" i="50"/>
  <c r="D167" i="50"/>
  <c r="G56" i="50"/>
  <c r="G77" i="50" s="1"/>
  <c r="G150" i="50" s="1"/>
  <c r="G166" i="50"/>
  <c r="D147" i="52"/>
  <c r="G147" i="52"/>
  <c r="G158" i="52"/>
  <c r="G160" i="52" s="1"/>
  <c r="F158" i="42"/>
  <c r="F152" i="42"/>
  <c r="F153" i="42"/>
  <c r="F154" i="42"/>
  <c r="F155" i="42"/>
  <c r="D169" i="42"/>
  <c r="E165" i="43"/>
  <c r="F37" i="43"/>
  <c r="F56" i="43" s="1"/>
  <c r="F77" i="43" s="1"/>
  <c r="F150" i="43" s="1"/>
  <c r="F78" i="43"/>
  <c r="F178" i="43" s="1"/>
  <c r="G169" i="44"/>
  <c r="F147" i="44"/>
  <c r="F164" i="44"/>
  <c r="F179" i="44"/>
  <c r="D158" i="45"/>
  <c r="D131" i="45"/>
  <c r="D167" i="45"/>
  <c r="D152" i="45"/>
  <c r="F147" i="46"/>
  <c r="D131" i="47"/>
  <c r="D167" i="47"/>
  <c r="G56" i="48"/>
  <c r="G77" i="48" s="1"/>
  <c r="G150" i="48" s="1"/>
  <c r="G153" i="48" s="1"/>
  <c r="G166" i="48"/>
  <c r="E179" i="48"/>
  <c r="G157" i="51"/>
  <c r="G169" i="51"/>
  <c r="G165" i="51"/>
  <c r="E131" i="51"/>
  <c r="E164" i="51"/>
  <c r="E179" i="51"/>
  <c r="E169" i="52"/>
  <c r="E157" i="52"/>
  <c r="E165" i="52"/>
  <c r="F131" i="52"/>
  <c r="D147" i="53"/>
  <c r="D158" i="53"/>
  <c r="G147" i="54"/>
  <c r="E155" i="54"/>
  <c r="F78" i="57"/>
  <c r="F178" i="57" s="1"/>
  <c r="F37" i="57"/>
  <c r="F56" i="57" s="1"/>
  <c r="F77" i="57" s="1"/>
  <c r="F150" i="57" s="1"/>
  <c r="F151" i="57" s="1"/>
  <c r="E133" i="47"/>
  <c r="F111" i="47"/>
  <c r="G133" i="48"/>
  <c r="E56" i="48"/>
  <c r="E77" i="48" s="1"/>
  <c r="E150" i="48" s="1"/>
  <c r="E166" i="48"/>
  <c r="E131" i="49"/>
  <c r="E164" i="49"/>
  <c r="E179" i="49"/>
  <c r="E169" i="51"/>
  <c r="E157" i="51"/>
  <c r="E165" i="51"/>
  <c r="F154" i="51"/>
  <c r="F155" i="51"/>
  <c r="D167" i="52"/>
  <c r="G131" i="52"/>
  <c r="G186" i="53"/>
  <c r="E185" i="53"/>
  <c r="E164" i="53"/>
  <c r="E179" i="53"/>
  <c r="E131" i="53"/>
  <c r="E167" i="53"/>
  <c r="F179" i="54"/>
  <c r="F164" i="54"/>
  <c r="D147" i="54"/>
  <c r="G182" i="55"/>
  <c r="G186" i="55" s="1"/>
  <c r="G185" i="55"/>
  <c r="F164" i="55"/>
  <c r="F179" i="55"/>
  <c r="E169" i="55"/>
  <c r="D37" i="57"/>
  <c r="D56" i="57" s="1"/>
  <c r="D77" i="57" s="1"/>
  <c r="D150" i="57" s="1"/>
  <c r="D79" i="57"/>
  <c r="E36" i="57"/>
  <c r="E177" i="57"/>
  <c r="E181" i="57"/>
  <c r="E37" i="62"/>
  <c r="E56" i="62" s="1"/>
  <c r="E77" i="62" s="1"/>
  <c r="E150" i="62" s="1"/>
  <c r="E79" i="62"/>
  <c r="E165" i="48"/>
  <c r="E169" i="48"/>
  <c r="G111" i="48"/>
  <c r="D147" i="49"/>
  <c r="F147" i="49"/>
  <c r="F158" i="49"/>
  <c r="F160" i="49" s="1"/>
  <c r="G179" i="49"/>
  <c r="G147" i="50"/>
  <c r="G158" i="50"/>
  <c r="E153" i="50"/>
  <c r="G179" i="50"/>
  <c r="D147" i="51"/>
  <c r="G158" i="51"/>
  <c r="G147" i="51"/>
  <c r="G131" i="51"/>
  <c r="G167" i="51"/>
  <c r="G166" i="51"/>
  <c r="G37" i="54"/>
  <c r="G56" i="54" s="1"/>
  <c r="G77" i="54" s="1"/>
  <c r="G150" i="54" s="1"/>
  <c r="G151" i="54" s="1"/>
  <c r="G79" i="54"/>
  <c r="G133" i="55"/>
  <c r="E167" i="57"/>
  <c r="E131" i="57"/>
  <c r="F169" i="42"/>
  <c r="F165" i="42"/>
  <c r="F157" i="42"/>
  <c r="D78" i="42"/>
  <c r="D178" i="42" s="1"/>
  <c r="D169" i="43"/>
  <c r="D165" i="43"/>
  <c r="D157" i="43"/>
  <c r="D169" i="44"/>
  <c r="D165" i="44"/>
  <c r="D157" i="44"/>
  <c r="D169" i="45"/>
  <c r="D165" i="45"/>
  <c r="D157" i="45"/>
  <c r="D171" i="46"/>
  <c r="D182" i="46" s="1"/>
  <c r="D165" i="46"/>
  <c r="E169" i="47"/>
  <c r="G157" i="47"/>
  <c r="F133" i="47"/>
  <c r="D152" i="47"/>
  <c r="D147" i="48"/>
  <c r="D131" i="48"/>
  <c r="D155" i="48"/>
  <c r="F180" i="49"/>
  <c r="F183" i="49"/>
  <c r="F184" i="49" s="1"/>
  <c r="F172" i="49" s="1"/>
  <c r="G169" i="50"/>
  <c r="F155" i="50"/>
  <c r="D153" i="51"/>
  <c r="D155" i="51"/>
  <c r="G166" i="52"/>
  <c r="E157" i="53"/>
  <c r="E165" i="53"/>
  <c r="E169" i="53"/>
  <c r="G147" i="53"/>
  <c r="G158" i="53"/>
  <c r="G162" i="53" s="1"/>
  <c r="E79" i="53"/>
  <c r="D37" i="53"/>
  <c r="D56" i="53" s="1"/>
  <c r="D77" i="53" s="1"/>
  <c r="D150" i="53" s="1"/>
  <c r="D78" i="53"/>
  <c r="D178" i="53" s="1"/>
  <c r="G164" i="54"/>
  <c r="G179" i="54"/>
  <c r="D131" i="56"/>
  <c r="G108" i="57"/>
  <c r="D164" i="57"/>
  <c r="D179" i="57"/>
  <c r="G111" i="59"/>
  <c r="D158" i="60"/>
  <c r="F169" i="43"/>
  <c r="F165" i="43"/>
  <c r="F157" i="43"/>
  <c r="F169" i="44"/>
  <c r="F165" i="44"/>
  <c r="F157" i="44"/>
  <c r="F169" i="45"/>
  <c r="F165" i="45"/>
  <c r="F157" i="45"/>
  <c r="F169" i="46"/>
  <c r="F165" i="46"/>
  <c r="F157" i="46"/>
  <c r="G169" i="47"/>
  <c r="F158" i="48"/>
  <c r="F167" i="48"/>
  <c r="F36" i="49"/>
  <c r="F177" i="49"/>
  <c r="F181" i="49"/>
  <c r="F151" i="51"/>
  <c r="G151" i="53"/>
  <c r="G157" i="53"/>
  <c r="G165" i="53"/>
  <c r="G169" i="53"/>
  <c r="E147" i="53"/>
  <c r="E158" i="53"/>
  <c r="E77" i="53"/>
  <c r="E150" i="53" s="1"/>
  <c r="E152" i="53" s="1"/>
  <c r="F37" i="53"/>
  <c r="F56" i="53" s="1"/>
  <c r="F77" i="53" s="1"/>
  <c r="F150" i="53" s="1"/>
  <c r="F78" i="53"/>
  <c r="F178" i="53" s="1"/>
  <c r="E147" i="54"/>
  <c r="E158" i="54"/>
  <c r="E164" i="54"/>
  <c r="E179" i="54"/>
  <c r="E36" i="55"/>
  <c r="E181" i="55"/>
  <c r="F177" i="55"/>
  <c r="F181" i="55"/>
  <c r="F36" i="55"/>
  <c r="D37" i="55"/>
  <c r="D56" i="55" s="1"/>
  <c r="D77" i="55" s="1"/>
  <c r="D150" i="55" s="1"/>
  <c r="D78" i="55"/>
  <c r="D178" i="55" s="1"/>
  <c r="F131" i="56"/>
  <c r="E147" i="57"/>
  <c r="E158" i="57"/>
  <c r="E160" i="57" s="1"/>
  <c r="F167" i="59"/>
  <c r="F131" i="59"/>
  <c r="F147" i="60"/>
  <c r="F158" i="60"/>
  <c r="D169" i="48"/>
  <c r="D165" i="48"/>
  <c r="D157" i="48"/>
  <c r="D169" i="49"/>
  <c r="D165" i="49"/>
  <c r="D157" i="49"/>
  <c r="F169" i="50"/>
  <c r="F165" i="50"/>
  <c r="F157" i="50"/>
  <c r="F169" i="51"/>
  <c r="F165" i="51"/>
  <c r="F157" i="51"/>
  <c r="D169" i="52"/>
  <c r="D165" i="52"/>
  <c r="D157" i="52"/>
  <c r="F78" i="52"/>
  <c r="F178" i="52" s="1"/>
  <c r="G161" i="53"/>
  <c r="F111" i="54"/>
  <c r="G153" i="54"/>
  <c r="D36" i="54"/>
  <c r="D111" i="55"/>
  <c r="F147" i="56"/>
  <c r="E153" i="56"/>
  <c r="E171" i="57"/>
  <c r="E164" i="57"/>
  <c r="D108" i="57"/>
  <c r="F166" i="57"/>
  <c r="D131" i="58"/>
  <c r="G167" i="58"/>
  <c r="G131" i="58"/>
  <c r="D133" i="59"/>
  <c r="F155" i="60"/>
  <c r="F147" i="61"/>
  <c r="F169" i="48"/>
  <c r="F165" i="48"/>
  <c r="F157" i="48"/>
  <c r="D169" i="50"/>
  <c r="D165" i="50"/>
  <c r="D157" i="50"/>
  <c r="D169" i="51"/>
  <c r="D165" i="51"/>
  <c r="D157" i="51"/>
  <c r="F169" i="52"/>
  <c r="F165" i="52"/>
  <c r="F157" i="52"/>
  <c r="E151" i="54"/>
  <c r="E152" i="54"/>
  <c r="F111" i="55"/>
  <c r="E157" i="56"/>
  <c r="D147" i="56"/>
  <c r="G147" i="56"/>
  <c r="D153" i="56"/>
  <c r="D155" i="56"/>
  <c r="D164" i="58"/>
  <c r="D179" i="58"/>
  <c r="F147" i="59"/>
  <c r="D154" i="60"/>
  <c r="E152" i="61"/>
  <c r="E154" i="61"/>
  <c r="G169" i="54"/>
  <c r="G165" i="54"/>
  <c r="G157" i="54"/>
  <c r="E169" i="56"/>
  <c r="G169" i="57"/>
  <c r="D158" i="57"/>
  <c r="F111" i="57"/>
  <c r="D151" i="58"/>
  <c r="D157" i="58"/>
  <c r="D165" i="58"/>
  <c r="G155" i="58"/>
  <c r="F147" i="58"/>
  <c r="E153" i="58"/>
  <c r="E152" i="58"/>
  <c r="D166" i="59"/>
  <c r="D56" i="59"/>
  <c r="D77" i="59" s="1"/>
  <c r="D150" i="59" s="1"/>
  <c r="D153" i="59" s="1"/>
  <c r="E131" i="60"/>
  <c r="E167" i="60"/>
  <c r="E165" i="61"/>
  <c r="E169" i="61"/>
  <c r="E157" i="61"/>
  <c r="E151" i="61"/>
  <c r="G169" i="61"/>
  <c r="E131" i="61"/>
  <c r="E169" i="54"/>
  <c r="E165" i="54"/>
  <c r="E157" i="54"/>
  <c r="D169" i="55"/>
  <c r="D165" i="55"/>
  <c r="D157" i="55"/>
  <c r="E165" i="56"/>
  <c r="D164" i="56"/>
  <c r="D179" i="56"/>
  <c r="F153" i="56"/>
  <c r="F147" i="57"/>
  <c r="F157" i="58"/>
  <c r="F165" i="58"/>
  <c r="F169" i="58"/>
  <c r="E154" i="58"/>
  <c r="E155" i="58"/>
  <c r="D147" i="58"/>
  <c r="E169" i="59"/>
  <c r="F166" i="59"/>
  <c r="G131" i="60"/>
  <c r="F153" i="60"/>
  <c r="D164" i="60"/>
  <c r="D179" i="60"/>
  <c r="G157" i="61"/>
  <c r="D131" i="61"/>
  <c r="G131" i="61"/>
  <c r="G167" i="61"/>
  <c r="D152" i="61"/>
  <c r="D153" i="61"/>
  <c r="D154" i="61"/>
  <c r="D155" i="61"/>
  <c r="F169" i="57"/>
  <c r="F165" i="57"/>
  <c r="F157" i="57"/>
  <c r="E169" i="58"/>
  <c r="G147" i="59"/>
  <c r="G158" i="59"/>
  <c r="D164" i="59"/>
  <c r="D179" i="59"/>
  <c r="E79" i="59"/>
  <c r="F169" i="60"/>
  <c r="F165" i="60"/>
  <c r="F131" i="60"/>
  <c r="F167" i="60"/>
  <c r="D169" i="56"/>
  <c r="D165" i="56"/>
  <c r="D157" i="56"/>
  <c r="D157" i="57"/>
  <c r="F164" i="59"/>
  <c r="F179" i="59"/>
  <c r="G36" i="59"/>
  <c r="D151" i="60"/>
  <c r="D165" i="60"/>
  <c r="D169" i="60"/>
  <c r="F151" i="60"/>
  <c r="E147" i="60"/>
  <c r="E158" i="60"/>
  <c r="G56" i="61"/>
  <c r="G77" i="61" s="1"/>
  <c r="G150" i="61" s="1"/>
  <c r="G151" i="61" s="1"/>
  <c r="F169" i="59"/>
  <c r="D157" i="59"/>
  <c r="G165" i="62"/>
  <c r="D169" i="59"/>
  <c r="F157" i="59"/>
  <c r="D151" i="61"/>
  <c r="D147" i="61"/>
  <c r="G153" i="61"/>
  <c r="D157" i="62"/>
  <c r="D165" i="62"/>
  <c r="D152" i="62"/>
  <c r="D155" i="62"/>
  <c r="G169" i="60"/>
  <c r="G165" i="60"/>
  <c r="G157" i="60"/>
  <c r="D169" i="61"/>
  <c r="D165" i="61"/>
  <c r="D157" i="61"/>
  <c r="F166" i="62"/>
  <c r="E169" i="60"/>
  <c r="E165" i="60"/>
  <c r="E157" i="60"/>
  <c r="F169" i="61"/>
  <c r="F165" i="61"/>
  <c r="D179" i="62"/>
  <c r="D164" i="62"/>
  <c r="F147" i="62"/>
  <c r="F158" i="62"/>
  <c r="E177" i="62"/>
  <c r="E181" i="62"/>
  <c r="F37" i="62"/>
  <c r="F56" i="62" s="1"/>
  <c r="F77" i="62" s="1"/>
  <c r="F150" i="62" s="1"/>
  <c r="F78" i="62"/>
  <c r="F178" i="62" s="1"/>
  <c r="D167" i="62"/>
  <c r="G166" i="62"/>
  <c r="E111" i="62"/>
  <c r="F157" i="62"/>
  <c r="F165" i="62"/>
  <c r="E164" i="62"/>
  <c r="E179" i="62"/>
  <c r="G152" i="57" l="1"/>
  <c r="G151" i="57"/>
  <c r="E160" i="49"/>
  <c r="E162" i="49"/>
  <c r="G162" i="46"/>
  <c r="D155" i="60"/>
  <c r="D169" i="57"/>
  <c r="F155" i="56"/>
  <c r="E155" i="61"/>
  <c r="D154" i="56"/>
  <c r="D158" i="56"/>
  <c r="D160" i="56" s="1"/>
  <c r="F79" i="54"/>
  <c r="G158" i="58"/>
  <c r="D131" i="51"/>
  <c r="G155" i="56"/>
  <c r="D152" i="51"/>
  <c r="D154" i="47"/>
  <c r="D169" i="46"/>
  <c r="F158" i="52"/>
  <c r="D147" i="50"/>
  <c r="E157" i="55"/>
  <c r="E151" i="52"/>
  <c r="E164" i="56"/>
  <c r="F151" i="56"/>
  <c r="F152" i="45"/>
  <c r="E152" i="44"/>
  <c r="E154" i="52"/>
  <c r="F37" i="46"/>
  <c r="F56" i="46" s="1"/>
  <c r="F77" i="46" s="1"/>
  <c r="F150" i="46" s="1"/>
  <c r="F152" i="46" s="1"/>
  <c r="E154" i="44"/>
  <c r="E158" i="56"/>
  <c r="D151" i="51"/>
  <c r="D186" i="43"/>
  <c r="E151" i="60"/>
  <c r="G153" i="57"/>
  <c r="G152" i="61"/>
  <c r="E131" i="59"/>
  <c r="F152" i="60"/>
  <c r="D152" i="56"/>
  <c r="G152" i="54"/>
  <c r="D131" i="59"/>
  <c r="E154" i="56"/>
  <c r="G153" i="53"/>
  <c r="F153" i="50"/>
  <c r="D158" i="51"/>
  <c r="D160" i="51" s="1"/>
  <c r="D131" i="52"/>
  <c r="D147" i="44"/>
  <c r="F158" i="44"/>
  <c r="F160" i="44" s="1"/>
  <c r="G167" i="42"/>
  <c r="D182" i="59"/>
  <c r="D186" i="59" s="1"/>
  <c r="E158" i="44"/>
  <c r="E154" i="54"/>
  <c r="G186" i="44"/>
  <c r="G185" i="49"/>
  <c r="D155" i="42"/>
  <c r="G153" i="42"/>
  <c r="F154" i="61"/>
  <c r="E153" i="60"/>
  <c r="G158" i="44"/>
  <c r="D186" i="50"/>
  <c r="F186" i="62"/>
  <c r="G158" i="62"/>
  <c r="G160" i="62" s="1"/>
  <c r="D151" i="62"/>
  <c r="G186" i="62"/>
  <c r="D182" i="62"/>
  <c r="F152" i="48"/>
  <c r="F155" i="48"/>
  <c r="F151" i="48"/>
  <c r="F153" i="48"/>
  <c r="G158" i="61"/>
  <c r="G160" i="61" s="1"/>
  <c r="G152" i="58"/>
  <c r="E158" i="61"/>
  <c r="E160" i="61" s="1"/>
  <c r="G157" i="59"/>
  <c r="E152" i="56"/>
  <c r="D152" i="48"/>
  <c r="D153" i="45"/>
  <c r="G147" i="44"/>
  <c r="F151" i="52"/>
  <c r="E151" i="50"/>
  <c r="D151" i="48"/>
  <c r="E153" i="52"/>
  <c r="E186" i="51"/>
  <c r="E186" i="44"/>
  <c r="F152" i="61"/>
  <c r="F108" i="61"/>
  <c r="E186" i="42"/>
  <c r="D157" i="54"/>
  <c r="D165" i="54"/>
  <c r="D154" i="52"/>
  <c r="D155" i="50"/>
  <c r="E151" i="56"/>
  <c r="G167" i="56"/>
  <c r="F155" i="52"/>
  <c r="D154" i="48"/>
  <c r="F167" i="50"/>
  <c r="G37" i="49"/>
  <c r="G56" i="49" s="1"/>
  <c r="G77" i="49" s="1"/>
  <c r="G150" i="49" s="1"/>
  <c r="G154" i="49" s="1"/>
  <c r="E155" i="50"/>
  <c r="E162" i="46"/>
  <c r="G131" i="54"/>
  <c r="G158" i="47"/>
  <c r="G160" i="47" s="1"/>
  <c r="F186" i="53"/>
  <c r="F158" i="50"/>
  <c r="D186" i="61"/>
  <c r="D147" i="42"/>
  <c r="D158" i="42"/>
  <c r="G169" i="59"/>
  <c r="G158" i="56"/>
  <c r="D158" i="55"/>
  <c r="G147" i="62"/>
  <c r="F151" i="61"/>
  <c r="F164" i="60"/>
  <c r="F158" i="58"/>
  <c r="F162" i="58" s="1"/>
  <c r="F167" i="58"/>
  <c r="D152" i="52"/>
  <c r="D153" i="50"/>
  <c r="F153" i="52"/>
  <c r="G160" i="57"/>
  <c r="D154" i="45"/>
  <c r="F186" i="47"/>
  <c r="D154" i="42"/>
  <c r="D131" i="62"/>
  <c r="G158" i="60"/>
  <c r="G186" i="59"/>
  <c r="E152" i="52"/>
  <c r="D167" i="60"/>
  <c r="D131" i="60"/>
  <c r="E167" i="56"/>
  <c r="E131" i="56"/>
  <c r="D186" i="62"/>
  <c r="E167" i="58"/>
  <c r="E131" i="58"/>
  <c r="G155" i="60"/>
  <c r="G154" i="60"/>
  <c r="G152" i="60"/>
  <c r="G153" i="60"/>
  <c r="G151" i="60"/>
  <c r="G154" i="45"/>
  <c r="G151" i="45"/>
  <c r="G155" i="45"/>
  <c r="G152" i="45"/>
  <c r="F151" i="47"/>
  <c r="F153" i="47"/>
  <c r="F155" i="47"/>
  <c r="F152" i="47"/>
  <c r="F154" i="47"/>
  <c r="D155" i="58"/>
  <c r="D154" i="58"/>
  <c r="E186" i="49"/>
  <c r="D147" i="62"/>
  <c r="D158" i="62"/>
  <c r="F154" i="58"/>
  <c r="F155" i="58"/>
  <c r="D164" i="61"/>
  <c r="D179" i="61"/>
  <c r="F172" i="61"/>
  <c r="F186" i="61"/>
  <c r="E131" i="55"/>
  <c r="E167" i="55"/>
  <c r="D182" i="54"/>
  <c r="D186" i="54" s="1"/>
  <c r="D185" i="54"/>
  <c r="G186" i="50"/>
  <c r="D154" i="49"/>
  <c r="E147" i="45"/>
  <c r="E158" i="45"/>
  <c r="G157" i="55"/>
  <c r="G165" i="55"/>
  <c r="D154" i="62"/>
  <c r="D169" i="62"/>
  <c r="F165" i="59"/>
  <c r="G153" i="58"/>
  <c r="F152" i="56"/>
  <c r="G152" i="56"/>
  <c r="E153" i="54"/>
  <c r="G151" i="56"/>
  <c r="G154" i="57"/>
  <c r="D153" i="52"/>
  <c r="D152" i="50"/>
  <c r="G152" i="53"/>
  <c r="F154" i="52"/>
  <c r="D151" i="52"/>
  <c r="F154" i="50"/>
  <c r="D153" i="47"/>
  <c r="E152" i="50"/>
  <c r="F154" i="48"/>
  <c r="F153" i="45"/>
  <c r="F155" i="44"/>
  <c r="G167" i="43"/>
  <c r="F131" i="49"/>
  <c r="E167" i="43"/>
  <c r="G158" i="43"/>
  <c r="D182" i="57"/>
  <c r="D186" i="57" s="1"/>
  <c r="D185" i="57"/>
  <c r="E147" i="52"/>
  <c r="E158" i="52"/>
  <c r="F37" i="59"/>
  <c r="F56" i="59" s="1"/>
  <c r="F77" i="59" s="1"/>
  <c r="F150" i="59" s="1"/>
  <c r="F79" i="59"/>
  <c r="G179" i="58"/>
  <c r="G164" i="58"/>
  <c r="D167" i="53"/>
  <c r="D131" i="53"/>
  <c r="G131" i="49"/>
  <c r="G167" i="49"/>
  <c r="F131" i="53"/>
  <c r="F167" i="53"/>
  <c r="E147" i="51"/>
  <c r="E158" i="51"/>
  <c r="F151" i="50"/>
  <c r="F172" i="52"/>
  <c r="F186" i="52"/>
  <c r="G131" i="50"/>
  <c r="G167" i="50"/>
  <c r="G153" i="45"/>
  <c r="D186" i="55"/>
  <c r="F151" i="44"/>
  <c r="G158" i="49"/>
  <c r="G164" i="56"/>
  <c r="G179" i="56"/>
  <c r="G37" i="55"/>
  <c r="G56" i="55" s="1"/>
  <c r="G77" i="55" s="1"/>
  <c r="G150" i="55" s="1"/>
  <c r="G79" i="55"/>
  <c r="G186" i="42"/>
  <c r="E158" i="59"/>
  <c r="E147" i="59"/>
  <c r="E185" i="59"/>
  <c r="E182" i="59"/>
  <c r="E186" i="59" s="1"/>
  <c r="E147" i="58"/>
  <c r="E158" i="58"/>
  <c r="F147" i="53"/>
  <c r="F158" i="53"/>
  <c r="E131" i="44"/>
  <c r="E167" i="44"/>
  <c r="F152" i="58"/>
  <c r="D108" i="49"/>
  <c r="D153" i="49" s="1"/>
  <c r="D152" i="49"/>
  <c r="E158" i="42"/>
  <c r="E147" i="42"/>
  <c r="D167" i="49"/>
  <c r="D131" i="49"/>
  <c r="G167" i="55"/>
  <c r="G131" i="55"/>
  <c r="F186" i="42"/>
  <c r="F151" i="58"/>
  <c r="G154" i="58"/>
  <c r="D154" i="50"/>
  <c r="G153" i="56"/>
  <c r="D155" i="47"/>
  <c r="D186" i="46"/>
  <c r="F151" i="45"/>
  <c r="E158" i="55"/>
  <c r="E160" i="55" s="1"/>
  <c r="G131" i="62"/>
  <c r="G167" i="62"/>
  <c r="E186" i="61"/>
  <c r="D131" i="54"/>
  <c r="D167" i="54"/>
  <c r="D172" i="60"/>
  <c r="D186" i="60"/>
  <c r="F182" i="59"/>
  <c r="F186" i="59" s="1"/>
  <c r="F185" i="59"/>
  <c r="F172" i="56"/>
  <c r="F186" i="56"/>
  <c r="F182" i="54"/>
  <c r="F186" i="54" s="1"/>
  <c r="F185" i="54"/>
  <c r="D186" i="53"/>
  <c r="G131" i="46"/>
  <c r="G167" i="46"/>
  <c r="G172" i="56"/>
  <c r="G186" i="56"/>
  <c r="E147" i="50"/>
  <c r="E158" i="50"/>
  <c r="G131" i="44"/>
  <c r="G167" i="44"/>
  <c r="F153" i="58"/>
  <c r="F182" i="46"/>
  <c r="F186" i="46" s="1"/>
  <c r="F185" i="46"/>
  <c r="E186" i="50"/>
  <c r="F154" i="62"/>
  <c r="F155" i="62"/>
  <c r="F153" i="62"/>
  <c r="F151" i="62"/>
  <c r="F152" i="62"/>
  <c r="D154" i="46"/>
  <c r="D155" i="46"/>
  <c r="D151" i="46"/>
  <c r="D152" i="46"/>
  <c r="G152" i="44"/>
  <c r="G153" i="44"/>
  <c r="G151" i="44"/>
  <c r="G154" i="44"/>
  <c r="G155" i="44"/>
  <c r="G151" i="62"/>
  <c r="G153" i="62"/>
  <c r="G155" i="62"/>
  <c r="G152" i="62"/>
  <c r="G154" i="62"/>
  <c r="E151" i="62"/>
  <c r="E157" i="62"/>
  <c r="E165" i="62"/>
  <c r="E169" i="62"/>
  <c r="G37" i="59"/>
  <c r="G56" i="59" s="1"/>
  <c r="G77" i="59" s="1"/>
  <c r="G150" i="59" s="1"/>
  <c r="G79" i="59"/>
  <c r="D154" i="59"/>
  <c r="D155" i="59"/>
  <c r="F160" i="59"/>
  <c r="F162" i="59"/>
  <c r="G160" i="56"/>
  <c r="G162" i="56"/>
  <c r="F160" i="60"/>
  <c r="F162" i="60"/>
  <c r="E153" i="53"/>
  <c r="D153" i="53"/>
  <c r="D151" i="53"/>
  <c r="D155" i="53"/>
  <c r="D152" i="53"/>
  <c r="D154" i="53"/>
  <c r="F147" i="47"/>
  <c r="F158" i="47"/>
  <c r="E182" i="57"/>
  <c r="E186" i="57" s="1"/>
  <c r="E185" i="57"/>
  <c r="D154" i="57"/>
  <c r="D155" i="57"/>
  <c r="D160" i="54"/>
  <c r="D162" i="54"/>
  <c r="E155" i="48"/>
  <c r="E154" i="48"/>
  <c r="E152" i="48"/>
  <c r="E153" i="48"/>
  <c r="G158" i="48"/>
  <c r="G147" i="48"/>
  <c r="F160" i="42"/>
  <c r="F162" i="42"/>
  <c r="G155" i="50"/>
  <c r="G154" i="50"/>
  <c r="G152" i="50"/>
  <c r="D153" i="46"/>
  <c r="E154" i="42"/>
  <c r="E155" i="42"/>
  <c r="E153" i="42"/>
  <c r="F160" i="51"/>
  <c r="F162" i="51"/>
  <c r="D160" i="46"/>
  <c r="D162" i="46"/>
  <c r="G184" i="43"/>
  <c r="G185" i="43"/>
  <c r="G160" i="43"/>
  <c r="G162" i="43"/>
  <c r="G162" i="62"/>
  <c r="D160" i="57"/>
  <c r="D162" i="57"/>
  <c r="F154" i="57"/>
  <c r="F155" i="57"/>
  <c r="F160" i="56"/>
  <c r="F162" i="56"/>
  <c r="D164" i="55"/>
  <c r="D179" i="55"/>
  <c r="E185" i="55"/>
  <c r="E182" i="55"/>
  <c r="E186" i="55" s="1"/>
  <c r="E151" i="53"/>
  <c r="G162" i="51"/>
  <c r="G160" i="51"/>
  <c r="E165" i="57"/>
  <c r="E157" i="57"/>
  <c r="E169" i="57"/>
  <c r="F162" i="44"/>
  <c r="F164" i="43"/>
  <c r="F179" i="43"/>
  <c r="D160" i="52"/>
  <c r="D162" i="52"/>
  <c r="G37" i="52"/>
  <c r="G56" i="52" s="1"/>
  <c r="G77" i="52" s="1"/>
  <c r="G150" i="52" s="1"/>
  <c r="G151" i="52" s="1"/>
  <c r="G79" i="52"/>
  <c r="E154" i="49"/>
  <c r="E153" i="49"/>
  <c r="E155" i="49"/>
  <c r="E152" i="49"/>
  <c r="D167" i="43"/>
  <c r="D131" i="43"/>
  <c r="D160" i="44"/>
  <c r="D162" i="44"/>
  <c r="E165" i="46"/>
  <c r="E157" i="46"/>
  <c r="E169" i="46"/>
  <c r="E160" i="48"/>
  <c r="E162" i="48"/>
  <c r="F160" i="45"/>
  <c r="F162" i="45"/>
  <c r="F179" i="62"/>
  <c r="F164" i="62"/>
  <c r="E160" i="60"/>
  <c r="E162" i="60"/>
  <c r="E152" i="59"/>
  <c r="E153" i="59"/>
  <c r="E154" i="59"/>
  <c r="E155" i="59"/>
  <c r="E151" i="59"/>
  <c r="E162" i="61"/>
  <c r="F152" i="57"/>
  <c r="F131" i="55"/>
  <c r="F167" i="55"/>
  <c r="F160" i="61"/>
  <c r="F162" i="61"/>
  <c r="D167" i="55"/>
  <c r="D131" i="55"/>
  <c r="D37" i="54"/>
  <c r="D56" i="54" s="1"/>
  <c r="D77" i="54" s="1"/>
  <c r="D150" i="54" s="1"/>
  <c r="D79" i="54"/>
  <c r="F131" i="54"/>
  <c r="F167" i="54"/>
  <c r="D154" i="55"/>
  <c r="D155" i="55"/>
  <c r="F182" i="55"/>
  <c r="F186" i="55" s="1"/>
  <c r="F185" i="55"/>
  <c r="E37" i="55"/>
  <c r="E56" i="55" s="1"/>
  <c r="E77" i="55" s="1"/>
  <c r="E150" i="55" s="1"/>
  <c r="E79" i="55"/>
  <c r="E160" i="54"/>
  <c r="E162" i="54"/>
  <c r="F179" i="53"/>
  <c r="F164" i="53"/>
  <c r="F162" i="49"/>
  <c r="F160" i="48"/>
  <c r="F162" i="48"/>
  <c r="G131" i="59"/>
  <c r="G167" i="59"/>
  <c r="D164" i="42"/>
  <c r="D179" i="42"/>
  <c r="D160" i="50"/>
  <c r="D162" i="50"/>
  <c r="E152" i="62"/>
  <c r="E153" i="62"/>
  <c r="E154" i="62"/>
  <c r="E155" i="62"/>
  <c r="E37" i="57"/>
  <c r="E56" i="57" s="1"/>
  <c r="E77" i="57" s="1"/>
  <c r="E150" i="57" s="1"/>
  <c r="E151" i="57" s="1"/>
  <c r="E79" i="57"/>
  <c r="G153" i="49"/>
  <c r="E147" i="47"/>
  <c r="E158" i="47"/>
  <c r="F164" i="57"/>
  <c r="F179" i="57"/>
  <c r="F154" i="43"/>
  <c r="F155" i="43"/>
  <c r="D151" i="57"/>
  <c r="D160" i="47"/>
  <c r="D162" i="47"/>
  <c r="G162" i="52"/>
  <c r="G153" i="50"/>
  <c r="E37" i="46"/>
  <c r="E56" i="46" s="1"/>
  <c r="E77" i="46" s="1"/>
  <c r="E150" i="46" s="1"/>
  <c r="E151" i="46" s="1"/>
  <c r="E79" i="46"/>
  <c r="E162" i="56"/>
  <c r="E160" i="56"/>
  <c r="E131" i="48"/>
  <c r="E167" i="48"/>
  <c r="G164" i="44"/>
  <c r="G179" i="44"/>
  <c r="E155" i="43"/>
  <c r="E154" i="43"/>
  <c r="G185" i="46"/>
  <c r="G182" i="46"/>
  <c r="G186" i="46" s="1"/>
  <c r="E160" i="44"/>
  <c r="E162" i="44"/>
  <c r="D164" i="43"/>
  <c r="D179" i="43"/>
  <c r="G160" i="42"/>
  <c r="G162" i="42"/>
  <c r="G160" i="60"/>
  <c r="G162" i="60"/>
  <c r="G160" i="59"/>
  <c r="G162" i="59"/>
  <c r="F131" i="57"/>
  <c r="F167" i="57"/>
  <c r="F164" i="52"/>
  <c r="F179" i="52"/>
  <c r="E154" i="53"/>
  <c r="E155" i="53"/>
  <c r="F182" i="49"/>
  <c r="F186" i="49" s="1"/>
  <c r="F185" i="49"/>
  <c r="F160" i="52"/>
  <c r="F162" i="52"/>
  <c r="G162" i="50"/>
  <c r="G160" i="50"/>
  <c r="F131" i="47"/>
  <c r="F167" i="47"/>
  <c r="G152" i="48"/>
  <c r="G154" i="48"/>
  <c r="G155" i="48"/>
  <c r="E162" i="55"/>
  <c r="G160" i="53"/>
  <c r="G182" i="52"/>
  <c r="G186" i="52" s="1"/>
  <c r="G185" i="52"/>
  <c r="G151" i="48"/>
  <c r="D154" i="44"/>
  <c r="D155" i="44"/>
  <c r="E151" i="47"/>
  <c r="E154" i="47"/>
  <c r="E155" i="47"/>
  <c r="E153" i="47"/>
  <c r="E152" i="47"/>
  <c r="E155" i="45"/>
  <c r="E153" i="45"/>
  <c r="E152" i="45"/>
  <c r="E154" i="45"/>
  <c r="G154" i="42"/>
  <c r="G152" i="42"/>
  <c r="G155" i="42"/>
  <c r="G162" i="47"/>
  <c r="G167" i="45"/>
  <c r="G131" i="45"/>
  <c r="G158" i="45"/>
  <c r="F158" i="57"/>
  <c r="D147" i="59"/>
  <c r="D158" i="59"/>
  <c r="F37" i="55"/>
  <c r="F56" i="55" s="1"/>
  <c r="F77" i="55" s="1"/>
  <c r="F150" i="55" s="1"/>
  <c r="F79" i="55"/>
  <c r="E160" i="53"/>
  <c r="E162" i="53"/>
  <c r="F157" i="49"/>
  <c r="F165" i="49"/>
  <c r="F169" i="49"/>
  <c r="D160" i="48"/>
  <c r="D162" i="48"/>
  <c r="G147" i="55"/>
  <c r="G158" i="55"/>
  <c r="G155" i="51"/>
  <c r="G153" i="51"/>
  <c r="G154" i="51"/>
  <c r="G152" i="51"/>
  <c r="F160" i="46"/>
  <c r="F162" i="46"/>
  <c r="G151" i="50"/>
  <c r="G164" i="46"/>
  <c r="G179" i="46"/>
  <c r="F147" i="54"/>
  <c r="F158" i="54"/>
  <c r="G78" i="43"/>
  <c r="G178" i="43" s="1"/>
  <c r="G37" i="43"/>
  <c r="G56" i="43" s="1"/>
  <c r="G77" i="43" s="1"/>
  <c r="G150" i="43" s="1"/>
  <c r="E131" i="62"/>
  <c r="E167" i="62"/>
  <c r="E182" i="62"/>
  <c r="E186" i="62" s="1"/>
  <c r="E185" i="62"/>
  <c r="F160" i="62"/>
  <c r="F162" i="62"/>
  <c r="E158" i="62"/>
  <c r="D160" i="61"/>
  <c r="D162" i="61"/>
  <c r="D151" i="59"/>
  <c r="G154" i="61"/>
  <c r="G155" i="61"/>
  <c r="D152" i="59"/>
  <c r="G162" i="61"/>
  <c r="F153" i="57"/>
  <c r="F152" i="54"/>
  <c r="F154" i="54"/>
  <c r="F153" i="54"/>
  <c r="F155" i="54"/>
  <c r="G160" i="58"/>
  <c r="G162" i="58"/>
  <c r="D153" i="57"/>
  <c r="F158" i="55"/>
  <c r="G155" i="57"/>
  <c r="F151" i="55"/>
  <c r="F157" i="55"/>
  <c r="F165" i="55"/>
  <c r="F169" i="55"/>
  <c r="F152" i="53"/>
  <c r="F154" i="53"/>
  <c r="F153" i="53"/>
  <c r="F155" i="53"/>
  <c r="F151" i="53"/>
  <c r="F37" i="49"/>
  <c r="F56" i="49" s="1"/>
  <c r="F77" i="49" s="1"/>
  <c r="F150" i="49" s="1"/>
  <c r="F79" i="49"/>
  <c r="D179" i="53"/>
  <c r="D164" i="53"/>
  <c r="G154" i="54"/>
  <c r="G155" i="54"/>
  <c r="D160" i="49"/>
  <c r="D162" i="49"/>
  <c r="G167" i="48"/>
  <c r="G131" i="48"/>
  <c r="E151" i="48"/>
  <c r="E162" i="57"/>
  <c r="G160" i="54"/>
  <c r="G162" i="54"/>
  <c r="D162" i="53"/>
  <c r="D160" i="53"/>
  <c r="G151" i="51"/>
  <c r="D160" i="45"/>
  <c r="D162" i="45"/>
  <c r="D152" i="44"/>
  <c r="G157" i="52"/>
  <c r="G169" i="52"/>
  <c r="G165" i="52"/>
  <c r="F160" i="50"/>
  <c r="F162" i="50"/>
  <c r="G154" i="47"/>
  <c r="G155" i="47"/>
  <c r="G152" i="47"/>
  <c r="G153" i="47"/>
  <c r="E154" i="51"/>
  <c r="E152" i="51"/>
  <c r="E153" i="51"/>
  <c r="E151" i="51"/>
  <c r="E155" i="51"/>
  <c r="E151" i="49"/>
  <c r="G157" i="46"/>
  <c r="G169" i="46"/>
  <c r="G165" i="46"/>
  <c r="G151" i="42"/>
  <c r="F155" i="46"/>
  <c r="G160" i="44"/>
  <c r="G162" i="44"/>
  <c r="E152" i="42"/>
  <c r="E179" i="46"/>
  <c r="E164" i="46"/>
  <c r="G37" i="46"/>
  <c r="G56" i="46" s="1"/>
  <c r="G77" i="46" s="1"/>
  <c r="G150" i="46" s="1"/>
  <c r="G79" i="46"/>
  <c r="D154" i="43"/>
  <c r="D155" i="43"/>
  <c r="G164" i="62"/>
  <c r="G179" i="62"/>
  <c r="F153" i="46"/>
  <c r="F131" i="44"/>
  <c r="F167" i="44"/>
  <c r="E151" i="42"/>
  <c r="D158" i="43"/>
  <c r="D162" i="51" l="1"/>
  <c r="D162" i="56"/>
  <c r="F151" i="46"/>
  <c r="F154" i="46"/>
  <c r="G152" i="49"/>
  <c r="G155" i="49"/>
  <c r="F155" i="61"/>
  <c r="F153" i="61"/>
  <c r="F160" i="58"/>
  <c r="G151" i="49"/>
  <c r="D155" i="49"/>
  <c r="E162" i="50"/>
  <c r="E160" i="50"/>
  <c r="F153" i="59"/>
  <c r="F152" i="59"/>
  <c r="F162" i="53"/>
  <c r="F160" i="53"/>
  <c r="E160" i="58"/>
  <c r="E162" i="58"/>
  <c r="E160" i="51"/>
  <c r="E162" i="51"/>
  <c r="F151" i="59"/>
  <c r="F155" i="59"/>
  <c r="E160" i="59"/>
  <c r="E162" i="59"/>
  <c r="E160" i="45"/>
  <c r="E162" i="45"/>
  <c r="G162" i="49"/>
  <c r="G160" i="49"/>
  <c r="D162" i="62"/>
  <c r="D160" i="62"/>
  <c r="G155" i="55"/>
  <c r="G153" i="55"/>
  <c r="G154" i="55"/>
  <c r="G152" i="55"/>
  <c r="F154" i="59"/>
  <c r="E162" i="42"/>
  <c r="E160" i="42"/>
  <c r="E160" i="52"/>
  <c r="E162" i="52"/>
  <c r="G151" i="55"/>
  <c r="E160" i="62"/>
  <c r="E162" i="62"/>
  <c r="G155" i="46"/>
  <c r="G154" i="46"/>
  <c r="G152" i="46"/>
  <c r="F152" i="49"/>
  <c r="F153" i="49"/>
  <c r="F154" i="49"/>
  <c r="F155" i="49"/>
  <c r="G155" i="43"/>
  <c r="G151" i="43"/>
  <c r="G154" i="43"/>
  <c r="G152" i="43"/>
  <c r="G153" i="43"/>
  <c r="F162" i="54"/>
  <c r="F160" i="54"/>
  <c r="F152" i="55"/>
  <c r="F153" i="55"/>
  <c r="F154" i="55"/>
  <c r="F155" i="55"/>
  <c r="G160" i="45"/>
  <c r="G162" i="45"/>
  <c r="G172" i="43"/>
  <c r="G186" i="43"/>
  <c r="F160" i="47"/>
  <c r="F162" i="47"/>
  <c r="G151" i="46"/>
  <c r="F160" i="55"/>
  <c r="F162" i="55"/>
  <c r="G164" i="43"/>
  <c r="G179" i="43"/>
  <c r="G162" i="55"/>
  <c r="G160" i="55"/>
  <c r="F160" i="57"/>
  <c r="F162" i="57"/>
  <c r="G160" i="48"/>
  <c r="G162" i="48"/>
  <c r="E160" i="47"/>
  <c r="E162" i="47"/>
  <c r="E155" i="55"/>
  <c r="E152" i="55"/>
  <c r="E154" i="55"/>
  <c r="E153" i="55"/>
  <c r="E151" i="55"/>
  <c r="D153" i="54"/>
  <c r="D155" i="54"/>
  <c r="D154" i="54"/>
  <c r="D152" i="54"/>
  <c r="D151" i="54"/>
  <c r="G155" i="52"/>
  <c r="G154" i="52"/>
  <c r="G153" i="52"/>
  <c r="G152" i="52"/>
  <c r="F151" i="49"/>
  <c r="D160" i="59"/>
  <c r="D162" i="59"/>
  <c r="G153" i="46"/>
  <c r="E154" i="46"/>
  <c r="E155" i="46"/>
  <c r="E152" i="46"/>
  <c r="E153" i="46"/>
  <c r="E155" i="57"/>
  <c r="E154" i="57"/>
  <c r="E152" i="57"/>
  <c r="E153" i="57"/>
  <c r="G152" i="59"/>
  <c r="G153" i="59"/>
  <c r="G154" i="59"/>
  <c r="G155" i="59"/>
  <c r="G151" i="59"/>
  <c r="A34" i="2" l="1"/>
  <c r="A36" i="11"/>
  <c r="A38" i="7" l="1"/>
  <c r="A38" i="2"/>
  <c r="A38" i="6"/>
  <c r="A34" i="6" l="1"/>
  <c r="A34" i="40"/>
  <c r="A34" i="7"/>
</calcChain>
</file>

<file path=xl/comments1.xml><?xml version="1.0" encoding="utf-8"?>
<comments xmlns="http://schemas.openxmlformats.org/spreadsheetml/2006/main">
  <authors>
    <author>Fischer Rudolf</author>
  </authors>
  <commentList>
    <comment ref="D175" authorId="0">
      <text>
        <r>
          <rPr>
            <b/>
            <sz val="9"/>
            <color indexed="81"/>
            <rFont val="Tahoma"/>
            <family val="2"/>
          </rPr>
          <t>Fischer Rudolf:</t>
        </r>
        <r>
          <rPr>
            <sz val="9"/>
            <color indexed="81"/>
            <rFont val="Tahoma"/>
            <family val="2"/>
          </rPr>
          <t xml:space="preserve">
Zahl von Dani Sidler</t>
        </r>
      </text>
    </comment>
    <comment ref="E175" authorId="0">
      <text>
        <r>
          <rPr>
            <b/>
            <sz val="9"/>
            <color indexed="81"/>
            <rFont val="Tahoma"/>
            <family val="2"/>
          </rPr>
          <t>Fischer Rudolf:</t>
        </r>
        <r>
          <rPr>
            <sz val="9"/>
            <color indexed="81"/>
            <rFont val="Tahoma"/>
            <family val="2"/>
          </rPr>
          <t xml:space="preserve">
Zahl von Dani Sidler</t>
        </r>
      </text>
    </comment>
  </commentList>
</comments>
</file>

<file path=xl/comments10.xml><?xml version="1.0" encoding="utf-8"?>
<comments xmlns="http://schemas.openxmlformats.org/spreadsheetml/2006/main">
  <authors>
    <author>Fischer Rudolf</author>
  </authors>
  <commentList>
    <comment ref="D100" authorId="0">
      <text>
        <r>
          <rPr>
            <b/>
            <sz val="9"/>
            <color indexed="81"/>
            <rFont val="Tahoma"/>
            <family val="2"/>
          </rPr>
          <t>Fischer Rudolf:</t>
        </r>
        <r>
          <rPr>
            <sz val="9"/>
            <color indexed="81"/>
            <rFont val="Tahoma"/>
            <family val="2"/>
          </rPr>
          <t xml:space="preserve">
04.05.2015 geändert von Fr. 97'193 auf diesen Wert nach Meldung von Frau Wolter</t>
        </r>
      </text>
    </comment>
  </commentList>
</comments>
</file>

<file path=xl/comments2.xml><?xml version="1.0" encoding="utf-8"?>
<comments xmlns="http://schemas.openxmlformats.org/spreadsheetml/2006/main">
  <authors>
    <author>Fischer Rudolf</author>
  </authors>
  <commentList>
    <comment ref="E175" authorId="0">
      <text>
        <r>
          <rPr>
            <b/>
            <sz val="9"/>
            <color indexed="81"/>
            <rFont val="Tahoma"/>
            <family val="2"/>
          </rPr>
          <t>Fischer Rudolf:</t>
        </r>
        <r>
          <rPr>
            <sz val="9"/>
            <color indexed="81"/>
            <rFont val="Tahoma"/>
            <family val="2"/>
          </rPr>
          <t xml:space="preserve">
Budget 2014: RG-Wert eingesetzt</t>
        </r>
      </text>
    </comment>
  </commentList>
</comments>
</file>

<file path=xl/comments3.xml><?xml version="1.0" encoding="utf-8"?>
<comments xmlns="http://schemas.openxmlformats.org/spreadsheetml/2006/main">
  <authors>
    <author>Fischer Rudolf</author>
  </authors>
  <commentList>
    <comment ref="E175" authorId="0">
      <text>
        <r>
          <rPr>
            <b/>
            <sz val="9"/>
            <color indexed="81"/>
            <rFont val="Tahoma"/>
            <family val="2"/>
          </rPr>
          <t>Fischer Rudolf:
Wert von RE 2013</t>
        </r>
      </text>
    </comment>
  </commentList>
</comments>
</file>

<file path=xl/comments4.xml><?xml version="1.0" encoding="utf-8"?>
<comments xmlns="http://schemas.openxmlformats.org/spreadsheetml/2006/main">
  <authors>
    <author>Meyer Christian</author>
    <author>b150pcm</author>
    <author>Fischer Rudolf</author>
  </authors>
  <commentList>
    <comment ref="E108" authorId="0">
      <text>
        <r>
          <rPr>
            <b/>
            <sz val="9"/>
            <color indexed="81"/>
            <rFont val="Tahoma"/>
            <family val="2"/>
          </rPr>
          <t>Meyer Christian:</t>
        </r>
        <r>
          <rPr>
            <sz val="9"/>
            <color indexed="81"/>
            <rFont val="Tahoma"/>
            <family val="2"/>
          </rPr>
          <t xml:space="preserve">
Runden eingefügt, wegen Berechnung Kennzahl Zeile 152</t>
        </r>
      </text>
    </comment>
    <comment ref="A142" authorId="1">
      <text>
        <r>
          <rPr>
            <b/>
            <sz val="10"/>
            <color indexed="81"/>
            <rFont val="Tahoma"/>
            <family val="2"/>
          </rPr>
          <t>b150pcm:</t>
        </r>
        <r>
          <rPr>
            <sz val="10"/>
            <color indexed="81"/>
            <rFont val="Tahoma"/>
            <family val="2"/>
          </rPr>
          <t xml:space="preserve">
NW wendet Nettomethode an</t>
        </r>
      </text>
    </comment>
    <comment ref="E175" authorId="2">
      <text>
        <r>
          <rPr>
            <b/>
            <sz val="9"/>
            <color indexed="81"/>
            <rFont val="Tahoma"/>
            <family val="2"/>
          </rPr>
          <t>Fischer Rudolf:
Budget 2014: 
RG Wert eingesetzt</t>
        </r>
      </text>
    </comment>
  </commentList>
</comments>
</file>

<file path=xl/comments5.xml><?xml version="1.0" encoding="utf-8"?>
<comments xmlns="http://schemas.openxmlformats.org/spreadsheetml/2006/main">
  <authors>
    <author>Fischer Rudolf</author>
  </authors>
  <commentList>
    <comment ref="E175" authorId="0">
      <text>
        <r>
          <rPr>
            <b/>
            <sz val="9"/>
            <color indexed="81"/>
            <rFont val="Tahoma"/>
            <family val="2"/>
          </rPr>
          <t>Fischer Rudolf:</t>
        </r>
        <r>
          <rPr>
            <sz val="9"/>
            <color indexed="81"/>
            <rFont val="Tahoma"/>
            <family val="2"/>
          </rPr>
          <t xml:space="preserve">
Budget 2014: Wert von RG 2013 eingetragen
</t>
        </r>
      </text>
    </comment>
  </commentList>
</comments>
</file>

<file path=xl/comments6.xml><?xml version="1.0" encoding="utf-8"?>
<comments xmlns="http://schemas.openxmlformats.org/spreadsheetml/2006/main">
  <authors>
    <author>Fischer Rudolf</author>
  </authors>
  <commentList>
    <comment ref="E175" authorId="0">
      <text>
        <r>
          <rPr>
            <b/>
            <sz val="9"/>
            <color indexed="81"/>
            <rFont val="Tahoma"/>
            <family val="2"/>
          </rPr>
          <t>Fischer Rudolf:</t>
        </r>
        <r>
          <rPr>
            <sz val="9"/>
            <color indexed="81"/>
            <rFont val="Tahoma"/>
            <family val="2"/>
          </rPr>
          <t xml:space="preserve">
Budget 2014: RG Wert eingesetzt
</t>
        </r>
      </text>
    </comment>
  </commentList>
</comments>
</file>

<file path=xl/comments7.xml><?xml version="1.0" encoding="utf-8"?>
<comments xmlns="http://schemas.openxmlformats.org/spreadsheetml/2006/main">
  <authors>
    <author>Fischer Rudolf</author>
  </authors>
  <commentList>
    <comment ref="D175" authorId="0">
      <text>
        <r>
          <rPr>
            <b/>
            <sz val="9"/>
            <color indexed="81"/>
            <rFont val="Tahoma"/>
            <family val="2"/>
          </rPr>
          <t>Fischer Rudolf 15.04.2015:</t>
        </r>
        <r>
          <rPr>
            <sz val="9"/>
            <color indexed="81"/>
            <rFont val="Tahoma"/>
            <family val="2"/>
          </rPr>
          <t xml:space="preserve">
von 194'935 auf den eingetragenen Wert korrigiert.</t>
        </r>
      </text>
    </comment>
  </commentList>
</comments>
</file>

<file path=xl/comments8.xml><?xml version="1.0" encoding="utf-8"?>
<comments xmlns="http://schemas.openxmlformats.org/spreadsheetml/2006/main">
  <authors>
    <author>Fischer Rudolf</author>
  </authors>
  <commentList>
    <comment ref="E175" authorId="0">
      <text>
        <r>
          <rPr>
            <b/>
            <sz val="9"/>
            <color indexed="81"/>
            <rFont val="Tahoma"/>
            <family val="2"/>
          </rPr>
          <t>Fischer Rudolf:</t>
        </r>
        <r>
          <rPr>
            <sz val="9"/>
            <color indexed="81"/>
            <rFont val="Tahoma"/>
            <family val="2"/>
          </rPr>
          <t xml:space="preserve">
Budget 2014: RG-Wert 2013 eingesetzt
</t>
        </r>
      </text>
    </comment>
  </commentList>
</comments>
</file>

<file path=xl/comments9.xml><?xml version="1.0" encoding="utf-8"?>
<comments xmlns="http://schemas.openxmlformats.org/spreadsheetml/2006/main">
  <authors>
    <author>Fischer Rudolf</author>
  </authors>
  <commentList>
    <comment ref="E175" authorId="0">
      <text>
        <r>
          <rPr>
            <b/>
            <sz val="9"/>
            <color indexed="81"/>
            <rFont val="Tahoma"/>
            <family val="2"/>
          </rPr>
          <t>Fischer Rudolf:</t>
        </r>
        <r>
          <rPr>
            <sz val="9"/>
            <color indexed="81"/>
            <rFont val="Tahoma"/>
            <family val="2"/>
          </rPr>
          <t xml:space="preserve">
Provisorisch. Die def. Zahle erscheiint Ende August 2014</t>
        </r>
      </text>
    </comment>
  </commentList>
</comments>
</file>

<file path=xl/sharedStrings.xml><?xml version="1.0" encoding="utf-8"?>
<sst xmlns="http://schemas.openxmlformats.org/spreadsheetml/2006/main" count="6818" uniqueCount="669">
  <si>
    <t xml:space="preserve"> </t>
  </si>
  <si>
    <t>Canton</t>
  </si>
  <si>
    <t>Kanton</t>
  </si>
  <si>
    <t>Nettoinvestition</t>
  </si>
  <si>
    <t>Investissement net</t>
  </si>
  <si>
    <t>Selbstfinanzierungsgrad</t>
  </si>
  <si>
    <t>Degré d'autofinancement</t>
  </si>
  <si>
    <t>Ein Selbstfinanzierungsgrad von unter null wird mit "negativ" bezeichnet</t>
  </si>
  <si>
    <t>+ Finanzierungsüberschuss / - Finanzierungsfehlbetrag</t>
  </si>
  <si>
    <t>+ Excedent de financement / - Insuffisnce de financement</t>
  </si>
  <si>
    <t>Saldo L. R.</t>
  </si>
  <si>
    <t>Finanzierung (+/-)</t>
  </si>
  <si>
    <t>Financement (+/-)</t>
  </si>
  <si>
    <t>Saldo Laufende Rechnung 
Excedent des revenues / des charges</t>
  </si>
  <si>
    <t xml:space="preserve">Finanzierung 
Financement </t>
  </si>
  <si>
    <t>Selbstfinanzierungsgrad
Degré d'autofinancement</t>
  </si>
  <si>
    <t>in 1000 Fr. / en 1000 frs.</t>
  </si>
  <si>
    <t>Un degré d'autofinancement inférieur à zéro est marqué "négatif"</t>
  </si>
  <si>
    <t>Excédent des</t>
  </si>
  <si>
    <t>revenus/charges</t>
  </si>
  <si>
    <t>Kantone die HRM2 anwenden, sind mit HRM2 markiert   /  Cantons qui utilises MCH2 sont marqué HRM2</t>
  </si>
  <si>
    <t>HRM2 / MCH2</t>
  </si>
  <si>
    <t>Ergebnis Finanzrechnung Gesamt</t>
  </si>
  <si>
    <t>Ergebnis Finanzrechnung Laufende Zahlungen</t>
  </si>
  <si>
    <t>Gesamtausgaben</t>
  </si>
  <si>
    <t>HRM2-Tabelle 18.11</t>
  </si>
  <si>
    <t>Laufende Ausgaben</t>
  </si>
  <si>
    <t>HRM2-Tabelle 18.15</t>
  </si>
  <si>
    <t>Gesamteinnahmen</t>
  </si>
  <si>
    <t>HRM2-Tabelle 18.12</t>
  </si>
  <si>
    <t>Laufende Einnahmen</t>
  </si>
  <si>
    <r>
      <t xml:space="preserve">Finanzrechnung
</t>
    </r>
    <r>
      <rPr>
        <sz val="10"/>
        <rFont val="Arial Narrow"/>
        <family val="2"/>
      </rPr>
      <t>HRM2-Tabelle 18.17</t>
    </r>
  </si>
  <si>
    <t>Kapitaldienst</t>
  </si>
  <si>
    <t>HRM2-Tabelle 18.14</t>
  </si>
  <si>
    <t>Gesamtaufwand</t>
  </si>
  <si>
    <t>Laufender Aufwand</t>
  </si>
  <si>
    <t>HRM2-Tabelle 18.16</t>
  </si>
  <si>
    <t>Laufender Ertrag</t>
  </si>
  <si>
    <t>HRM2-Tabelle 18.18</t>
  </si>
  <si>
    <t>Hilfsgrössen</t>
  </si>
  <si>
    <t xml:space="preserve">Ständige Wohnbevölkerung am Jahresende </t>
  </si>
  <si>
    <t>HRM2-Tabelle 18.24</t>
  </si>
  <si>
    <t>STATISTIK</t>
  </si>
  <si>
    <t>Investitionsanteil</t>
  </si>
  <si>
    <t>HRM2-Tabelle 18.5</t>
  </si>
  <si>
    <t>Investitionseinnahmen</t>
  </si>
  <si>
    <t>HRM2-Tabelle 18.13</t>
  </si>
  <si>
    <t>Bruttoinvestitionen</t>
  </si>
  <si>
    <t>HRM2-Tabelle 18.9</t>
  </si>
  <si>
    <t>Zinsbelastungsanteil</t>
  </si>
  <si>
    <t>HRM2-Tabelle 18.3</t>
  </si>
  <si>
    <t>Nettozinsaufwand</t>
  </si>
  <si>
    <t>HRM2-Tabelle 18.22</t>
  </si>
  <si>
    <t>Bruttorendite des Finanzvermögens</t>
  </si>
  <si>
    <t>Ertrag FV in % SG 10</t>
  </si>
  <si>
    <t>Ergebnis aus Finanzierung</t>
  </si>
  <si>
    <t>SG 44 - SG 34</t>
  </si>
  <si>
    <t>Kapitaldienstanteil</t>
  </si>
  <si>
    <t>HRM2-Tabelle 18.6</t>
  </si>
  <si>
    <t>Eigenkapitaldeckungsgrad</t>
  </si>
  <si>
    <t>SG 299  in % Laufender Aufwand</t>
  </si>
  <si>
    <t>Eigenkapital</t>
  </si>
  <si>
    <t>SG 29</t>
  </si>
  <si>
    <t>Nettoverschuldungsquotient</t>
  </si>
  <si>
    <t>HRM2-Tabelle 18.1</t>
  </si>
  <si>
    <t>Nettoschuld II in Fr. je Einwohner</t>
  </si>
  <si>
    <t>HRM2-Tabelle 18.7</t>
  </si>
  <si>
    <t>Nettoschuld I in Fr. je Einwohner</t>
  </si>
  <si>
    <t>Nettoschulden II</t>
  </si>
  <si>
    <t>HRM2-Tabelle 18.21</t>
  </si>
  <si>
    <t>Nettoschulden I</t>
  </si>
  <si>
    <t>HRM2-Tabelle 18.20</t>
  </si>
  <si>
    <t>Bruttoverschuldungsanteil</t>
  </si>
  <si>
    <t>HRM2-Tabelle 18.4</t>
  </si>
  <si>
    <t>Bruttoschulden</t>
  </si>
  <si>
    <t>HRM2-Tabelle 18.10</t>
  </si>
  <si>
    <t>Finanzierungsergebnis ohne Darlehen und Beteiligungen der Investitionsrechnung</t>
  </si>
  <si>
    <t>Nettoinvestition ohne Darl./Bet. - Selbstfin.</t>
  </si>
  <si>
    <t>Finanzierungsergebnis inkl. Darlehen und Beteiligungen der Investitionsrechnung</t>
  </si>
  <si>
    <t>Nettoinvestition - Selbstfinanzierung</t>
  </si>
  <si>
    <t>Selbstfinanzierungsgrad ohne Darlehen und Beteiligungen der Investitionsrechnung</t>
  </si>
  <si>
    <t>HRM2-Tabelle 18.2</t>
  </si>
  <si>
    <t>Selbstfinanzierungsgrad inkl. Darlehen und Beteiligungen der Investitionsrechnung</t>
  </si>
  <si>
    <t>Selbstfinanzierungsanteil</t>
  </si>
  <si>
    <t>HRM2-Tabelle 18.8</t>
  </si>
  <si>
    <t>Selbstfinanzierung</t>
  </si>
  <si>
    <t>HRM2-Tabelle 18.23</t>
  </si>
  <si>
    <t>1000 Fr.</t>
  </si>
  <si>
    <t>KENNZAHLEN</t>
  </si>
  <si>
    <t>Passiven</t>
  </si>
  <si>
    <t>Bilanzüberschuss (- Bilanzfehlbetrag)</t>
  </si>
  <si>
    <t>davon 299</t>
  </si>
  <si>
    <t>Verbindlichkeiten gegenüber Spezialfinanzierungen und Fonds im FK</t>
  </si>
  <si>
    <t>Langfristige Rückstellungen</t>
  </si>
  <si>
    <t>passivierte Investitionsbeiträge</t>
  </si>
  <si>
    <t>davon 2068</t>
  </si>
  <si>
    <t>Langfristige Finanzverbindlichkeiten</t>
  </si>
  <si>
    <t>Langfristiges Fremdkapital</t>
  </si>
  <si>
    <t>20 lf. FK</t>
  </si>
  <si>
    <t>Kurzfristige Rückstellungen</t>
  </si>
  <si>
    <t>Passive Rechnungsabgrenzungen (Transit. Passiven)</t>
  </si>
  <si>
    <t>derivative Finanzinstrumente</t>
  </si>
  <si>
    <t>davon 2016</t>
  </si>
  <si>
    <t>Kurzfristige Finanzverbindlichkeiten</t>
  </si>
  <si>
    <t>Laufende Verbindlichkeiten</t>
  </si>
  <si>
    <t>Kurzfristiges Fremdkapital</t>
  </si>
  <si>
    <t>20 kf. FK</t>
  </si>
  <si>
    <t>Fremdkapital</t>
  </si>
  <si>
    <t>Aktiven</t>
  </si>
  <si>
    <t>Nicht zugeteilte kum. zusätzliche Abschreibungen</t>
  </si>
  <si>
    <t>Kum. zusätzliche Abschreibungen Investitionsbeiträge</t>
  </si>
  <si>
    <t>Kum. zusätzliche Abschreibungen Beteiligungen</t>
  </si>
  <si>
    <t>Kum. zusätzliche Abschreibungen Darlehen</t>
  </si>
  <si>
    <t>Kum. zusätzliche Abschreibungen Sachanlagen, Immaterielle Anlagen (negative Vorzeichen)</t>
  </si>
  <si>
    <t>1480+1482</t>
  </si>
  <si>
    <t>Investitionsbeiträge</t>
  </si>
  <si>
    <t>Beteiligungen / Grundkapitalien</t>
  </si>
  <si>
    <t>Darlehen</t>
  </si>
  <si>
    <t>Sachanlagen, Immaterielle Anlagen</t>
  </si>
  <si>
    <t>140+142</t>
  </si>
  <si>
    <t>Verwaltungsvermögen</t>
  </si>
  <si>
    <t>Forderungen gegenüber Spezialfinanzierungen und Fonds im FK</t>
  </si>
  <si>
    <t>Sachanlagen FV</t>
  </si>
  <si>
    <t>Langfristige Finanzanlagen FV</t>
  </si>
  <si>
    <t>Anlagevermögen FV (langfristiges Finanzvermögen)</t>
  </si>
  <si>
    <t>10 lf. FV</t>
  </si>
  <si>
    <t>Vorräte und angefangene Arbeiten</t>
  </si>
  <si>
    <t>Aktive Rechnungsabgrenzungen (Transit. Aktiven)</t>
  </si>
  <si>
    <t>Kurzfr. Finanzanlagen</t>
  </si>
  <si>
    <t>Flüssige Mittel, Forderungen</t>
  </si>
  <si>
    <t>100+101</t>
  </si>
  <si>
    <t>Umlaufvermögen (kurzfristiges Finanzvermögen)</t>
  </si>
  <si>
    <t>10 kf. FV</t>
  </si>
  <si>
    <t>Finanzvermögen</t>
  </si>
  <si>
    <t>BILANZ</t>
  </si>
  <si>
    <t>Nettoinvestition ohne Darlehen und Beteiligungen</t>
  </si>
  <si>
    <t>Nettoinv. II</t>
  </si>
  <si>
    <t>HRM2-Tabelle 18.19</t>
  </si>
  <si>
    <t>Investitionseinnahmen gesamt</t>
  </si>
  <si>
    <t>a.o. Investitionsbeiträge für eigene Rechnung; Rückzahlungen von Darlehen; Übertragung von Beteiligungen; Rückzahlung von eigenen Beiträgen</t>
  </si>
  <si>
    <t>683 bis 686</t>
  </si>
  <si>
    <t>a.o. Investitionseinnahmen für Sachanlagen, immaterielle Anlagen und übrige Anlagen</t>
  </si>
  <si>
    <t>680 + 682
+ 689</t>
  </si>
  <si>
    <t>Durchlaufende Investitionsbeiträge</t>
  </si>
  <si>
    <t>Rückzahlung eigener Investitionsbeiträge</t>
  </si>
  <si>
    <t>Übertragung von Beteiligungen</t>
  </si>
  <si>
    <t>Rückzahlung von Darlehen</t>
  </si>
  <si>
    <t>Investitionsbeiträge für eigene Rechnung</t>
  </si>
  <si>
    <t>Abgang immaterielle Anlagen</t>
  </si>
  <si>
    <t>Rückerstattungen Dritter für Investitionen</t>
  </si>
  <si>
    <t>Übertragung von Sachanlagen in das FV</t>
  </si>
  <si>
    <t>Investitionsausgaben gesamt</t>
  </si>
  <si>
    <t>Übrige a.o. Investitionen</t>
  </si>
  <si>
    <t>a.o. eigene Investitionsbeiträge</t>
  </si>
  <si>
    <t>a.o. Investitionen für Beteiligungen und Grundkapitalien</t>
  </si>
  <si>
    <t>a.o. Investitionen für Darlehen</t>
  </si>
  <si>
    <t>a.o. Investitionen für immaterielle Anlagen</t>
  </si>
  <si>
    <t>a.o. Investitionen für Sachanlagen</t>
  </si>
  <si>
    <t>Eigene Investitionsbeiträge</t>
  </si>
  <si>
    <t>Beteiligungen und Grundkapitalien</t>
  </si>
  <si>
    <t>Immaterielle Anlagen</t>
  </si>
  <si>
    <t>Investitionen auf Rechnung Dritter</t>
  </si>
  <si>
    <t>Sachanlagen</t>
  </si>
  <si>
    <t>INVESTITIONSRECHNUNG</t>
  </si>
  <si>
    <t>Ertrag</t>
  </si>
  <si>
    <t>Aufwand</t>
  </si>
  <si>
    <t>Gesamtergebnis Erfolgsrechung</t>
  </si>
  <si>
    <t>Ausserordentliches Ergebnis</t>
  </si>
  <si>
    <t>Entnahmen aus Aufwertungsreserven</t>
  </si>
  <si>
    <t>davon 4895</t>
  </si>
  <si>
    <t>Entnahmen aus dem Eigenkapital</t>
  </si>
  <si>
    <t>Zusätzliche Auflösung passivierter Investitionsbeiträge</t>
  </si>
  <si>
    <t>a.o. Transfererträge</t>
  </si>
  <si>
    <t>a.o. Entnahmen aus Fonds und Spezialfinanzierungen</t>
  </si>
  <si>
    <t>a.o. Finanzerträge</t>
  </si>
  <si>
    <t>a.o. verschiedene Erträge</t>
  </si>
  <si>
    <t>a.o. Entgelte</t>
  </si>
  <si>
    <t>a.o. Regalien, Konzessionen</t>
  </si>
  <si>
    <t>a.o. übrige direkte Steuern; a.o. Besitz- und Aufwandsteuern</t>
  </si>
  <si>
    <t>4802 + 4803</t>
  </si>
  <si>
    <t>a.o. Direkte Steuern natürliche und juristische Personen</t>
  </si>
  <si>
    <t>4800 + 4801</t>
  </si>
  <si>
    <t>Einlagen in das Eigenkapital</t>
  </si>
  <si>
    <t>Zusätzlich Abschreibungen Darlehen, Beteiligungen, Invest.-Beiträge VV</t>
  </si>
  <si>
    <t>a.o.Transferaufwand (Geldwirksam)</t>
  </si>
  <si>
    <t>a.o. Finanzaufwand (Wertberichtigungen)</t>
  </si>
  <si>
    <t>a.o. Finanzaufwand (Geldwirksam)</t>
  </si>
  <si>
    <t>Zusätzliche Abschreibungen Sachanlagen und immat. Anlagen VV</t>
  </si>
  <si>
    <t>a.o. Sach- und Betriebsaufwand</t>
  </si>
  <si>
    <t>a.o. Personalaufwand</t>
  </si>
  <si>
    <t>Operatives Ergebnis</t>
  </si>
  <si>
    <t>Aufwertungen Verwaltungsvermögen</t>
  </si>
  <si>
    <t>davon 4490</t>
  </si>
  <si>
    <t>übriger Finanzertrag</t>
  </si>
  <si>
    <t>Erträge von gemieteten Liegenschaften</t>
  </si>
  <si>
    <t>Liegenschaftenertrag VV</t>
  </si>
  <si>
    <t>Finanzertrag von öffentlichen Unternehmungen</t>
  </si>
  <si>
    <t>Finanzertrag aus Darlehen und Beteiligungen VV</t>
  </si>
  <si>
    <t>Wertberichtigungen Anlagen FV</t>
  </si>
  <si>
    <t>Liegenschaftenertrag FV</t>
  </si>
  <si>
    <t>Beteiligungsertrag FV</t>
  </si>
  <si>
    <t>Realisierte Gewinne FV</t>
  </si>
  <si>
    <t>Zinsertrag</t>
  </si>
  <si>
    <t>Verschiedener Finanzaufwand</t>
  </si>
  <si>
    <t>Liegenschaftenaufwand FV</t>
  </si>
  <si>
    <t>Kapitalbeschaffungs- und Verwaltungskosten</t>
  </si>
  <si>
    <t>Realisierte Kursverluste</t>
  </si>
  <si>
    <t>Zinsaufwand</t>
  </si>
  <si>
    <t>Ergebnis aus betrieblicher Tätigkeit</t>
  </si>
  <si>
    <t>Total Betrieblicher Ertrag (ohne SG 49)</t>
  </si>
  <si>
    <t>Interne Verrechnungen</t>
  </si>
  <si>
    <t>Durchlaufende Beiträge</t>
  </si>
  <si>
    <t>Auflösung passivierter Investitionsbeiträge</t>
  </si>
  <si>
    <t>davon 466</t>
  </si>
  <si>
    <t>Transferertrag</t>
  </si>
  <si>
    <t>Entnahmen aus Fonds und Spezialfinanzierungen im Eigenkapital</t>
  </si>
  <si>
    <t>Entnahmen aus Fonds und Spezialfinanzierungen im Fremdkapital</t>
  </si>
  <si>
    <t>Übriger Ertrag</t>
  </si>
  <si>
    <t>Bestandesveränderungen</t>
  </si>
  <si>
    <t>Aktivierung Eigenleistung</t>
  </si>
  <si>
    <t>Verschiedene Erträge</t>
  </si>
  <si>
    <t>Entgelte</t>
  </si>
  <si>
    <t>Regalien und Konzessionen</t>
  </si>
  <si>
    <t>Übrige direkte Steuer; Besitz- und Aufwandsteuern</t>
  </si>
  <si>
    <t>402 + 403</t>
  </si>
  <si>
    <t>Direkte Steuern natürliche und juristische Personen</t>
  </si>
  <si>
    <t>400 + 401</t>
  </si>
  <si>
    <t>Total Betrieblicher Aufwand (ohne SG 39)</t>
  </si>
  <si>
    <t>Interne Verrechungen</t>
  </si>
  <si>
    <t>Durchlaufende Beiträge an private Unternehmungen</t>
  </si>
  <si>
    <t>davon 3705</t>
  </si>
  <si>
    <t>Durchlaufende Beiträge an öffentliche Unternehmungen</t>
  </si>
  <si>
    <t>davon 3704</t>
  </si>
  <si>
    <t>Wertberichtigungen Darlehen VV, Beteiligungen VV und Investitionsbeiträge</t>
  </si>
  <si>
    <t>davon 364, 365 und 366</t>
  </si>
  <si>
    <t>Beiträge an private Unternehmungen</t>
  </si>
  <si>
    <t>davon 3635</t>
  </si>
  <si>
    <t>Beiträge an öffentliche Unternehmungen</t>
  </si>
  <si>
    <t>davon 3634</t>
  </si>
  <si>
    <t>Transferaufwand</t>
  </si>
  <si>
    <t>Einlagen in Fonds und Spezialfinanzierungen im EK</t>
  </si>
  <si>
    <t>Einlagen in Fonds und Spezialfinanzierungen im FK</t>
  </si>
  <si>
    <t>Abtragung Bilanzfehlbetrag</t>
  </si>
  <si>
    <t>Abschreibungen Immaterielle Anlagen VV</t>
  </si>
  <si>
    <t>Abschreibungen Sachanlagen VV</t>
  </si>
  <si>
    <t>Wertberichtigungen auf Forderungen</t>
  </si>
  <si>
    <t>davon 3180</t>
  </si>
  <si>
    <t>baulicher und betrieblicher Unterhalt</t>
  </si>
  <si>
    <t>davon 314</t>
  </si>
  <si>
    <t>Sach- und übriger Betriebsaufwand</t>
  </si>
  <si>
    <t>Personalaufwand</t>
  </si>
  <si>
    <t>def.</t>
  </si>
  <si>
    <t>ERFOLGSRECHNUNG</t>
  </si>
  <si>
    <t>in 1000 Franken</t>
  </si>
  <si>
    <t>Budget</t>
  </si>
  <si>
    <t>Rechnung</t>
  </si>
  <si>
    <t>Aargau</t>
  </si>
  <si>
    <t>AG</t>
  </si>
  <si>
    <t xml:space="preserve">Kanton: </t>
  </si>
  <si>
    <t>Ständige Wohnbevölkerung am Jahresende</t>
  </si>
  <si>
    <t>Eigenkapital (in 1000 Fr.)</t>
  </si>
  <si>
    <t>Zürich</t>
  </si>
  <si>
    <t>ZH</t>
  </si>
  <si>
    <t>Appenzell Ausserrhoden</t>
  </si>
  <si>
    <t>AR</t>
  </si>
  <si>
    <t>Basel Land</t>
  </si>
  <si>
    <t>BL</t>
  </si>
  <si>
    <t>Budget 2013: Gemäss Bevölkerungsprognose Basel-Stadt 2012, Mittleres Szenario, Statistisches Amt des Kantons Basel-Stadt</t>
  </si>
  <si>
    <t>Bemerkungen:</t>
  </si>
  <si>
    <t>Basel Stadt</t>
  </si>
  <si>
    <t>BS</t>
  </si>
  <si>
    <t>Résultat compte financière totales</t>
  </si>
  <si>
    <t>Résultat compte financière courante</t>
  </si>
  <si>
    <t>Dépenses totales</t>
  </si>
  <si>
    <t>MCH2-Tableau 18.11</t>
  </si>
  <si>
    <t>Dépenses courantes</t>
  </si>
  <si>
    <t>MCH2-Tableau 18.15</t>
  </si>
  <si>
    <t>Recettes totales</t>
  </si>
  <si>
    <t>MCH2-Tableau 18.12</t>
  </si>
  <si>
    <t>Recettes courantes</t>
  </si>
  <si>
    <r>
      <t>Compte financière</t>
    </r>
    <r>
      <rPr>
        <sz val="10"/>
        <rFont val="Arial Narrow"/>
        <family val="2"/>
      </rPr>
      <t xml:space="preserve">
MCH2-Tableau 18.17</t>
    </r>
  </si>
  <si>
    <t>Service de la dette</t>
  </si>
  <si>
    <t>MCH2-Tableau 18.14</t>
  </si>
  <si>
    <t>Charges totales</t>
  </si>
  <si>
    <t>Charges courantes</t>
  </si>
  <si>
    <t>MCH2-Tableau 18.16</t>
  </si>
  <si>
    <t>Revenus courants</t>
  </si>
  <si>
    <t>MCH2-Tableau 18.18</t>
  </si>
  <si>
    <t>Chiffres-clés</t>
  </si>
  <si>
    <t>Population résident permanente à la fin de l'année</t>
  </si>
  <si>
    <t>MCH2-Tableau 18.24</t>
  </si>
  <si>
    <t>STATISTIC</t>
  </si>
  <si>
    <t>Proportion des investissements</t>
  </si>
  <si>
    <t>MCH2-Tableau 18.5</t>
  </si>
  <si>
    <t>Resettes d'investissement</t>
  </si>
  <si>
    <t>MCH2-Tableau 18.13</t>
  </si>
  <si>
    <t>Investissements bruts</t>
  </si>
  <si>
    <t>MCH2-Tableau 18.9</t>
  </si>
  <si>
    <t>Part des charges d'intérêts</t>
  </si>
  <si>
    <t>MCH2-Tableau 18.3</t>
  </si>
  <si>
    <t>Charges d'intérêts nets</t>
  </si>
  <si>
    <t>MCH2-Tableau 18.22</t>
  </si>
  <si>
    <t>Rendements bruts du patrimoine financier</t>
  </si>
  <si>
    <t>Revenus PF ein % du GN 10</t>
  </si>
  <si>
    <t>Resultat provenant de financement</t>
  </si>
  <si>
    <t>GN 44 - GN 34</t>
  </si>
  <si>
    <t>Part du service de la dette</t>
  </si>
  <si>
    <t>MCH2-Tableau 18.6</t>
  </si>
  <si>
    <t>Degré de couverture du capital propre</t>
  </si>
  <si>
    <t>GN 299  en % de charge courant</t>
  </si>
  <si>
    <t>capital propre</t>
  </si>
  <si>
    <t>GN 29</t>
  </si>
  <si>
    <t>Taux d'endettement net</t>
  </si>
  <si>
    <t>MCH2-Tableau 18.1</t>
  </si>
  <si>
    <t>Dette nette 2 en francs et par habitant</t>
  </si>
  <si>
    <t>MCH2-Tableau 18.7</t>
  </si>
  <si>
    <t>Dette nette 1 en francs et par habitant</t>
  </si>
  <si>
    <t>Dette nette II</t>
  </si>
  <si>
    <t>MCH2-Tableau 18.21</t>
  </si>
  <si>
    <t>Dette nette I</t>
  </si>
  <si>
    <t>MCH2-Tableau 18.20</t>
  </si>
  <si>
    <t>Dettes brutes par rapport aux revenus</t>
  </si>
  <si>
    <t>MCH2-Tableau 18.4</t>
  </si>
  <si>
    <t>Dettes brutes</t>
  </si>
  <si>
    <t>MCH2-Tableau 18.10</t>
  </si>
  <si>
    <t>Financement sauf emprunts et participations de la compte des investissements</t>
  </si>
  <si>
    <t>Invest. net sauf empr. &amp;particip.- Autofinanc.</t>
  </si>
  <si>
    <t>Financement incl. emprunts et participations de la compte des investissements</t>
  </si>
  <si>
    <t>Invest. net - Autofinancement</t>
  </si>
  <si>
    <t>Degré d'autofinancement sauf emprunts et participations de la compte des investissements</t>
  </si>
  <si>
    <t>MCH2-Tableau 18.2</t>
  </si>
  <si>
    <t>Degré d'autofinancement incl. emprunts et participations de la compte des investissements</t>
  </si>
  <si>
    <t>Taux d'autofinancement</t>
  </si>
  <si>
    <t>MCH2-Tableau 18.8</t>
  </si>
  <si>
    <t>Autofinancement</t>
  </si>
  <si>
    <t>MCH2-Tableau 18.23</t>
  </si>
  <si>
    <t>INDICATEURS FINANCIERS                                                                              1000 frs.</t>
  </si>
  <si>
    <t>Passif</t>
  </si>
  <si>
    <t>Excédent du bilan (- Découvert du bilan)</t>
  </si>
  <si>
    <t>de cela   299</t>
  </si>
  <si>
    <t>Capital propre</t>
  </si>
  <si>
    <t>Engagements envers les financements spéciaux et des fonds des Capitaux de tiers</t>
  </si>
  <si>
    <t>Provisions à long terme</t>
  </si>
  <si>
    <t>Subventions d'investissements inscrites au passif</t>
  </si>
  <si>
    <t>de cela 2068</t>
  </si>
  <si>
    <t>Engagements financiers à long terme</t>
  </si>
  <si>
    <t>Capitaux de tiers à long terme</t>
  </si>
  <si>
    <t>Provisions à court terme</t>
  </si>
  <si>
    <t>Passifs de régularisation</t>
  </si>
  <si>
    <t>Instruments financiers dérivés</t>
  </si>
  <si>
    <t>de cela 2016</t>
  </si>
  <si>
    <t>Engagements financiers à court terme</t>
  </si>
  <si>
    <t>Engagements courants</t>
  </si>
  <si>
    <t>Capitaux de tiers à court terme</t>
  </si>
  <si>
    <t>Capitaux de tiers</t>
  </si>
  <si>
    <t>Actif</t>
  </si>
  <si>
    <t xml:space="preserve">Amortissements supplémentaires cumulés non attribués </t>
  </si>
  <si>
    <t>Amortissements supplémentaires cumulés, Subventions d'investissements</t>
  </si>
  <si>
    <t>Amortissements supplémentaires cumulés sur participations</t>
  </si>
  <si>
    <t>Amortissements supplémentaires cumulés sur prêts</t>
  </si>
  <si>
    <t>Amortissements supplémentaires cumulés, immobilisations corporelles et  immobilisations incorporelles (négativ)</t>
  </si>
  <si>
    <t>Subventions d'investissements</t>
  </si>
  <si>
    <t>Participations, capital social</t>
  </si>
  <si>
    <t>Prêts</t>
  </si>
  <si>
    <t>Immobilisations corporelles et incorporelles du PA</t>
  </si>
  <si>
    <t>Patrimoine administratif</t>
  </si>
  <si>
    <t>Créances envers les financements spéciaux et fonds des capitaux de tiers</t>
  </si>
  <si>
    <t>Immobilisations corporelles PF</t>
  </si>
  <si>
    <t>Placements financiers</t>
  </si>
  <si>
    <t>Actif immobilisée</t>
  </si>
  <si>
    <t>Marchandises, fournitures et travaux en cours</t>
  </si>
  <si>
    <t xml:space="preserve">Actifs de régularisation </t>
  </si>
  <si>
    <t>Placements financiers à court terme</t>
  </si>
  <si>
    <t>Disponibilités et place-ments à court terme; Créances</t>
  </si>
  <si>
    <t>Actif circulant (Actif financier à court terme)</t>
  </si>
  <si>
    <t>Patrimoine Financier</t>
  </si>
  <si>
    <t>BILAN</t>
  </si>
  <si>
    <t>Investissement net sauf prêts et participations</t>
  </si>
  <si>
    <t>Recettes d'investissements total</t>
  </si>
  <si>
    <t>Subventions d'investissements extraordinaires acquises; Remboursement extraordinaire de prêts; Transfert extraordinaire de participations; Remboursement extraordinaire de propres subventions d'investissement</t>
  </si>
  <si>
    <t>683 à 686</t>
  </si>
  <si>
    <t xml:space="preserve">Recettes d'investissement extraordinaires pour les immobilisations corporelles, pour les immobilisations incorporelles et autres recettes d'investissement </t>
  </si>
  <si>
    <t>Subventions d'investissements à redistribuer</t>
  </si>
  <si>
    <t>Remboursement de propres subventions d'investissement</t>
  </si>
  <si>
    <t>Transfert de participations</t>
  </si>
  <si>
    <t>Remboursement de prêts</t>
  </si>
  <si>
    <t>Subventions d'investissements acquises</t>
  </si>
  <si>
    <t>Vente d'immobilisations incorporelles</t>
  </si>
  <si>
    <t>Remboursements pour les investissements sur le compte des tiers</t>
  </si>
  <si>
    <t>Transfert d'immobilisations corporelles dans le patrimoine financier</t>
  </si>
  <si>
    <t>Dépenses d'investissements total</t>
  </si>
  <si>
    <t>Autres investissements extraordinaires</t>
  </si>
  <si>
    <t xml:space="preserve">Subventions d'investissements extraordinaires </t>
  </si>
  <si>
    <t>Investissements extraordinaires pour les participations et le capital social</t>
  </si>
  <si>
    <t>Investissements extraordinaires pour les prêts</t>
  </si>
  <si>
    <t>Investissements extraordinaires pour les immobilisations incorporelles</t>
  </si>
  <si>
    <t>Investissements extraordinaires pour les immobilisations corporelles</t>
  </si>
  <si>
    <t>Propres subventions d'investissement</t>
  </si>
  <si>
    <t>Participations et capital social</t>
  </si>
  <si>
    <t>Immobilisations incorporelles</t>
  </si>
  <si>
    <t>Investissements pour le compte de tiers</t>
  </si>
  <si>
    <t>Immobilisations corporelles</t>
  </si>
  <si>
    <t>Comptes des investissements</t>
  </si>
  <si>
    <t>Résultat total, compte de résultats</t>
  </si>
  <si>
    <t>Résultat extraordinaire</t>
  </si>
  <si>
    <t>Prélèvements sur réserve liée au retraitement</t>
  </si>
  <si>
    <t>de cela 4895</t>
  </si>
  <si>
    <t>Prélèvements sur le capital propre</t>
  </si>
  <si>
    <t>Dissolution supplémentaire des subventions d’investissements portées au passif</t>
  </si>
  <si>
    <t xml:space="preserve">Parts aux revenus extraordinaires </t>
  </si>
  <si>
    <t>Prélèvements extraordinaires sur les fonds et financements spéciaux</t>
  </si>
  <si>
    <t>Revenus financiers extraordinaires</t>
  </si>
  <si>
    <t>Revenus divers extraordinaires</t>
  </si>
  <si>
    <t>Contributions extraordinaires</t>
  </si>
  <si>
    <t>Revenus extraordinaires de patentes, concessions</t>
  </si>
  <si>
    <t>Autres impôts directs extraordinaires; Impôts extraordinaires sur la propriété et sur les charges</t>
  </si>
  <si>
    <t>Impôts directs extraordinaires, personnes physiques et morales</t>
  </si>
  <si>
    <t>Attributions au capital propre</t>
  </si>
  <si>
    <t>Amortissements supplémentaires des prêts, participations et subventions d’investissements</t>
  </si>
  <si>
    <t>Charges de transfert ex-traordinaires (flux de trésorérie)</t>
  </si>
  <si>
    <t>Charges financières extraordinaires, réévaluations extraordinaires (comptable)</t>
  </si>
  <si>
    <t>Charges financières extraordinaires (flux de trésorérie)</t>
  </si>
  <si>
    <t>Amortissements supplémentaires des immobilisations corporelles et incorporelles PA</t>
  </si>
  <si>
    <t>Charges de biens, services et charges d'exploitation e.o.</t>
  </si>
  <si>
    <t>Charges de personnel e.o.</t>
  </si>
  <si>
    <t>Résultat opérationnel</t>
  </si>
  <si>
    <t>Résultat provenant de financements</t>
  </si>
  <si>
    <t>Réévaluations PA</t>
  </si>
  <si>
    <t>de cela 4490</t>
  </si>
  <si>
    <t>autres Revenus financiers</t>
  </si>
  <si>
    <t>Revenus des immeubles loués</t>
  </si>
  <si>
    <t>Produit des immeubles PA</t>
  </si>
  <si>
    <t>Revenus financiers d'entrepirse publiques</t>
  </si>
  <si>
    <t>Revenus financiers de prêts et de participations du PA</t>
  </si>
  <si>
    <t>Réévaluations, immobilistaions PF</t>
  </si>
  <si>
    <t>Produit des immeubles du PF</t>
  </si>
  <si>
    <t>Revenus de participations PF</t>
  </si>
  <si>
    <t>Gains réalisés</t>
  </si>
  <si>
    <t>Revenus des intérêts</t>
  </si>
  <si>
    <t>Différentes charges financières</t>
  </si>
  <si>
    <t>Réévaluations, immobilisations PF</t>
  </si>
  <si>
    <t>Charges pour biensfonds, patrimoine financier</t>
  </si>
  <si>
    <t>Frais d'approvisionnement en capitaux et frais administratifs</t>
  </si>
  <si>
    <t>Pertes de change réalisées</t>
  </si>
  <si>
    <t>Charge d'intérêt</t>
  </si>
  <si>
    <t>Résultat provenant des aktivités d'exploitation</t>
  </si>
  <si>
    <t>Revenus d'exploitation (sauf GN 49)</t>
  </si>
  <si>
    <t>Imputations internes</t>
  </si>
  <si>
    <t>Subventions à redistribuer</t>
  </si>
  <si>
    <t>Dissolution des subventions d'investissements portées au passif</t>
  </si>
  <si>
    <t>de cela 466</t>
  </si>
  <si>
    <t>Revenus de transferts</t>
  </si>
  <si>
    <t>Prélèvements sur les fonds et financements spéciaux enregistrés sous Capital propre</t>
  </si>
  <si>
    <t>Prélèvements sur les fonds et financements spéciaux enregistrés sous Capitaux de tiers</t>
  </si>
  <si>
    <t>Autres revenus</t>
  </si>
  <si>
    <t>Variations de stocks</t>
  </si>
  <si>
    <t>Activation des prestations propres</t>
  </si>
  <si>
    <t>Revenus d'exploitation divers</t>
  </si>
  <si>
    <t>Taxes</t>
  </si>
  <si>
    <t>Patentes et concessions</t>
  </si>
  <si>
    <t>Autres impôts directs; Impôt sur la propriété et sur les charges</t>
  </si>
  <si>
    <t>Impôts directs Personnes physiques et personnes morales</t>
  </si>
  <si>
    <t>charges d'exploitation (sauf GN 39)</t>
  </si>
  <si>
    <t>Subventions à redistribuer aux entreprises privées</t>
  </si>
  <si>
    <t>de ceal 3705</t>
  </si>
  <si>
    <t>Subventions à redistribuer aux entreprises publiques</t>
  </si>
  <si>
    <t>de cela 3704</t>
  </si>
  <si>
    <t>Réévaluations emprunts PA, participations PA et subventions d'investissements</t>
  </si>
  <si>
    <t>de cela 364, 365 et 366</t>
  </si>
  <si>
    <t>Subventions accordées aux entreprises privées</t>
  </si>
  <si>
    <t>de cela 3635</t>
  </si>
  <si>
    <t>Subventions accordées aux entreprises publiques</t>
  </si>
  <si>
    <t>de cela 3634</t>
  </si>
  <si>
    <t>Charges de transfert</t>
  </si>
  <si>
    <t>Attributions aux fonds et financements spéciaux enregistrées sous Capital propre</t>
  </si>
  <si>
    <t>Attributions aux fonds et financements spéciaux enregistrées sous capitaux de tiers</t>
  </si>
  <si>
    <t>Remboursement du découvert du bilan</t>
  </si>
  <si>
    <t>Amortissements des immobilisations incorporelles</t>
  </si>
  <si>
    <t>Immobilisations corporelles du PA</t>
  </si>
  <si>
    <t>Réévaluations sur créances</t>
  </si>
  <si>
    <t>de cela 3180</t>
  </si>
  <si>
    <t>Gros entretien et entretien courant</t>
  </si>
  <si>
    <t>de cela 314</t>
  </si>
  <si>
    <t>Charges de biens et services et autres charges d'exploitation</t>
  </si>
  <si>
    <t>Charges de personnel</t>
  </si>
  <si>
    <t>Compte de résultats</t>
  </si>
  <si>
    <t>en 1000 frs.</t>
  </si>
  <si>
    <t>Compte</t>
  </si>
  <si>
    <t>Fribourg</t>
  </si>
  <si>
    <t>FR</t>
  </si>
  <si>
    <t>Canton:</t>
  </si>
  <si>
    <t>Corrigé</t>
  </si>
  <si>
    <t>Geneva</t>
  </si>
  <si>
    <t>GE</t>
  </si>
  <si>
    <t>decela 2016</t>
  </si>
  <si>
    <t>Glarus</t>
  </si>
  <si>
    <t>GL</t>
  </si>
  <si>
    <t>Graubünden</t>
  </si>
  <si>
    <t>GR</t>
  </si>
  <si>
    <t>INDICATEURS FINANCIERS                                                              1000 frs.</t>
  </si>
  <si>
    <t>Charges de transfert extraordinaires (flux de trésorérie)</t>
  </si>
  <si>
    <t>Revenus d'exploitation di-vers</t>
  </si>
  <si>
    <t>dev.</t>
  </si>
  <si>
    <t>en 1000 frcs.</t>
  </si>
  <si>
    <t>Jura</t>
  </si>
  <si>
    <t>JU</t>
  </si>
  <si>
    <t>Luzern</t>
  </si>
  <si>
    <t>LU</t>
  </si>
  <si>
    <t>def</t>
  </si>
  <si>
    <t>Obwalden</t>
  </si>
  <si>
    <t>OW</t>
  </si>
  <si>
    <t>Nidwalden</t>
  </si>
  <si>
    <t>NW</t>
  </si>
  <si>
    <t>St. Gallen</t>
  </si>
  <si>
    <t>SG</t>
  </si>
  <si>
    <t>Solothurn</t>
  </si>
  <si>
    <t>SO</t>
  </si>
  <si>
    <t>Thurgau</t>
  </si>
  <si>
    <t>TG</t>
  </si>
  <si>
    <t>Ticino</t>
  </si>
  <si>
    <t>TI</t>
  </si>
  <si>
    <t>dvon 2016</t>
  </si>
  <si>
    <t>Uri</t>
  </si>
  <si>
    <t>UR</t>
  </si>
  <si>
    <t>Vaud</t>
  </si>
  <si>
    <t>VD</t>
  </si>
  <si>
    <t>Zug</t>
  </si>
  <si>
    <t>ZG</t>
  </si>
  <si>
    <t>Kanton:</t>
  </si>
  <si>
    <t>Bern</t>
  </si>
  <si>
    <t>Diff.</t>
  </si>
  <si>
    <t>in %</t>
  </si>
  <si>
    <t>L A U F E N D E   R E C H N U N G</t>
  </si>
  <si>
    <t>30</t>
  </si>
  <si>
    <t>31</t>
  </si>
  <si>
    <t>Sachaufwand</t>
  </si>
  <si>
    <t>Baulicher Unterhalt</t>
  </si>
  <si>
    <t>32</t>
  </si>
  <si>
    <t>Passivzinsen</t>
  </si>
  <si>
    <t>330</t>
  </si>
  <si>
    <t>Abschreibungen Finanzvermögen</t>
  </si>
  <si>
    <t>331 - 333</t>
  </si>
  <si>
    <t>Abschreibungen Verwaltungsvermögen</t>
  </si>
  <si>
    <t>34 - 37</t>
  </si>
  <si>
    <t>Anteile, Entschädigungen, Beiträge</t>
  </si>
  <si>
    <t>davon 363</t>
  </si>
  <si>
    <t>Beiträge an eigene Anstalten</t>
  </si>
  <si>
    <t>davon 364</t>
  </si>
  <si>
    <t>Beiträge an gemischtwirtschaftliche Unternehmungen</t>
  </si>
  <si>
    <t>davon 365</t>
  </si>
  <si>
    <t>Beiträge an private Institutionen</t>
  </si>
  <si>
    <t>davon 373</t>
  </si>
  <si>
    <t>Durchl. Beiträge an eigene Anstalten</t>
  </si>
  <si>
    <t>davon 374</t>
  </si>
  <si>
    <t>Durchl. Beiträge an gemischtwirtschaftliche Unternehmungen</t>
  </si>
  <si>
    <t xml:space="preserve">  -</t>
  </si>
  <si>
    <t>davon 375</t>
  </si>
  <si>
    <t>Durchl. Beiträge an private Institutionen</t>
  </si>
  <si>
    <t>38</t>
  </si>
  <si>
    <t>Einlagen in Spezialfinanzierungen/Fonds</t>
  </si>
  <si>
    <t>39</t>
  </si>
  <si>
    <t>Interne Verrechnungen (Aufwand)</t>
  </si>
  <si>
    <t>3</t>
  </si>
  <si>
    <t>Total Aufwand Laufende Rechnung</t>
  </si>
  <si>
    <t>400 - 404</t>
  </si>
  <si>
    <t>Direkte Steuern</t>
  </si>
  <si>
    <t>405 - 407</t>
  </si>
  <si>
    <t>Uebrige Steuern</t>
  </si>
  <si>
    <t>42</t>
  </si>
  <si>
    <t>Vermögenserträge</t>
  </si>
  <si>
    <t>41 / 43</t>
  </si>
  <si>
    <t>Konzessionen/Entgelte (Gebühren)</t>
  </si>
  <si>
    <t>44 - 47</t>
  </si>
  <si>
    <t>Anteile, Rückerstattungen, Beiträge</t>
  </si>
  <si>
    <t>48</t>
  </si>
  <si>
    <t>Entnahme aus Spezialfinanzierungen</t>
  </si>
  <si>
    <t>49</t>
  </si>
  <si>
    <t>Interne Verrechnungen (Ertrag)</t>
  </si>
  <si>
    <t>4</t>
  </si>
  <si>
    <t>Total Ertrag Laufende Rechnung</t>
  </si>
  <si>
    <t>.</t>
  </si>
  <si>
    <t>Saldo Laufende Rechnung</t>
  </si>
  <si>
    <t>I N V E S T I T I O N S R E C H N U N G</t>
  </si>
  <si>
    <t>50</t>
  </si>
  <si>
    <t>Sachgüter</t>
  </si>
  <si>
    <t>52</t>
  </si>
  <si>
    <t>Darlehen und Beteiligungen</t>
  </si>
  <si>
    <t>56 - 58</t>
  </si>
  <si>
    <t>Investitionsbeiträge,übrige Investitionen</t>
  </si>
  <si>
    <t>5</t>
  </si>
  <si>
    <t>Total Ausgaben Investitionsrechnung</t>
  </si>
  <si>
    <t>60 - 61</t>
  </si>
  <si>
    <t>Abgang Sachgüter, Nutzungsabgaben</t>
  </si>
  <si>
    <t>62 - 67</t>
  </si>
  <si>
    <t>Rückzahlung,Rückerstattung,Invest.-Beitr.</t>
  </si>
  <si>
    <t>6</t>
  </si>
  <si>
    <t>Total Einnahmen Investitionsrechnung</t>
  </si>
  <si>
    <t>NI</t>
  </si>
  <si>
    <t>Finanzierungsfehlbetrag(-)/-überschuss(+)</t>
  </si>
  <si>
    <t>Konsolidierte Gesamtausgaben</t>
  </si>
  <si>
    <t>Schwyz</t>
  </si>
  <si>
    <t>negativ</t>
  </si>
  <si>
    <t>Schaffhausen</t>
  </si>
  <si>
    <t>Appenzell I.Rh.</t>
  </si>
  <si>
    <t>HRM2=&gt;HRM1</t>
  </si>
  <si>
    <t>Tessin</t>
  </si>
  <si>
    <t>MCH2=&gt;MCH1</t>
  </si>
  <si>
    <t>C O M P T E   D E   F O N C T I O N N E M E N T</t>
  </si>
  <si>
    <t>Biens, services et marchandises</t>
  </si>
  <si>
    <t>Entretien des Immeubles</t>
  </si>
  <si>
    <t>Intérêts passifs</t>
  </si>
  <si>
    <t>Amortissements sur le patrimoine financier</t>
  </si>
  <si>
    <t>Amortissements sur le patrimoine administratif</t>
  </si>
  <si>
    <t>Parts, dédommagements, subventions</t>
  </si>
  <si>
    <t>de cela 363</t>
  </si>
  <si>
    <t>Subventions accordées; Propres établissements</t>
  </si>
  <si>
    <t>de cela 364</t>
  </si>
  <si>
    <t>Subventions accordées; Sociétés d'économie mixte</t>
  </si>
  <si>
    <t>de cela 365</t>
  </si>
  <si>
    <t>Subventions accordées; Institutions privées</t>
  </si>
  <si>
    <t>de cela 373</t>
  </si>
  <si>
    <t>Subventions redistribuées; Propres établissements</t>
  </si>
  <si>
    <t>de cela 374</t>
  </si>
  <si>
    <t>Subventions redistribuées; Sociétés d'économie mixte</t>
  </si>
  <si>
    <t>de cela 375</t>
  </si>
  <si>
    <t>Subventions redistribuées; Institutions privées</t>
  </si>
  <si>
    <t>Attributions aux financements spéciaux</t>
  </si>
  <si>
    <t>Total des charges</t>
  </si>
  <si>
    <t>Impôts</t>
  </si>
  <si>
    <t>Autres impôts</t>
  </si>
  <si>
    <t>Revenus des biens</t>
  </si>
  <si>
    <t>Concessions / Contributions</t>
  </si>
  <si>
    <t>Prélèvements aux financements spéciaux</t>
  </si>
  <si>
    <t>Total des revenus</t>
  </si>
  <si>
    <t>Excedent des revenus / des charges (-)</t>
  </si>
  <si>
    <t>C O M P T E  DES  I N V E S T I S S E M E N T S</t>
  </si>
  <si>
    <t>Investissements propres</t>
  </si>
  <si>
    <t>Prêts et participations permanentes</t>
  </si>
  <si>
    <t>Subventions, autres investissements</t>
  </si>
  <si>
    <t>Total des dépenses</t>
  </si>
  <si>
    <t>Transferts au patrim.financier/Contrib.de tiers</t>
  </si>
  <si>
    <t>Remboursements/Subventions</t>
  </si>
  <si>
    <t>Total des recettes</t>
  </si>
  <si>
    <t>Insuffisance (-) / Excedent de financement</t>
  </si>
  <si>
    <t>Total des dépenses effectives</t>
  </si>
  <si>
    <t>Valais</t>
  </si>
  <si>
    <t>Neuchâtel</t>
  </si>
  <si>
    <t>26 Kantone</t>
  </si>
  <si>
    <t>Differenz</t>
  </si>
  <si>
    <t>B 14 - R 14</t>
  </si>
  <si>
    <t>R 14 - B 15</t>
  </si>
  <si>
    <t>Résultats des Comptes 2013 des cantons</t>
  </si>
  <si>
    <t>Abschlusszahlen der Rechnungen 2013 der Kantone</t>
  </si>
  <si>
    <t>Basel-Stadt</t>
  </si>
  <si>
    <t xml:space="preserve">Basel-Landschaft </t>
  </si>
  <si>
    <t>Appenzell A.Rh.</t>
  </si>
  <si>
    <t>Genève</t>
  </si>
  <si>
    <t>Résultats des Budgets 2014 des cantons</t>
  </si>
  <si>
    <t>Abschlusszahlen der Budgets 2014 der Kantone</t>
  </si>
  <si>
    <t>Résultats des Comptes 2014 des cantons</t>
  </si>
  <si>
    <t>Abschlusszahlen der Rechnungen 2014 der Kantone</t>
  </si>
  <si>
    <t>Résultats des Budgets 2015 des cantons</t>
  </si>
  <si>
    <t>Abschlusszahlen der Budgets 2015 der Kantone</t>
  </si>
  <si>
    <t xml:space="preserve"> -</t>
  </si>
  <si>
    <t>-</t>
  </si>
  <si>
    <t>AI</t>
  </si>
  <si>
    <t>Appenzell Innerrhoden</t>
  </si>
  <si>
    <t>26 Cantons</t>
  </si>
  <si>
    <t xml:space="preserve">L A U F E N D E   R E C H N U N G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</si>
</sst>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164" formatCode="General_)"/>
    <numFmt numFmtId="165" formatCode="0.0%"/>
    <numFmt numFmtId="166" formatCode="#,##0;\-\ #,##0"/>
    <numFmt numFmtId="167" formatCode="0.0%;[Red]\-0.0%"/>
    <numFmt numFmtId="168" formatCode="#"/>
    <numFmt numFmtId="169" formatCode="#,##0_ ;[Red]\-#,##0\ "/>
    <numFmt numFmtId="170" formatCode="_(* #,##0.00_);_(* \(#,##0.00\);_(* &quot;-&quot;??_);_(@_)"/>
    <numFmt numFmtId="171" formatCode="_ * #,##0_ ;_ * \-#,##0_ ;_ * &quot;-&quot;??_ ;_ @_ "/>
    <numFmt numFmtId="172" formatCode="0.0%;\ \-0.0%;\ * &quot;-&quot;??_;"/>
    <numFmt numFmtId="173" formatCode="_ * #,##0_ ;[Red]_ * \-#,##0_ ;_ * &quot;-&quot;??_ ;_ @_ "/>
    <numFmt numFmtId="174" formatCode="#\ ###\ ##0"/>
  </numFmts>
  <fonts count="50">
    <font>
      <sz val="10"/>
      <name val="Arial"/>
    </font>
    <font>
      <sz val="10"/>
      <name val="MS Sans Serif"/>
      <family val="2"/>
    </font>
    <font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9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sz val="10"/>
      <name val="Arial Narrow"/>
      <family val="2"/>
    </font>
    <font>
      <b/>
      <sz val="10"/>
      <name val="Arial Narrow"/>
      <family val="2"/>
    </font>
    <font>
      <i/>
      <sz val="10"/>
      <name val="Arial Narrow"/>
      <family val="2"/>
    </font>
    <font>
      <b/>
      <i/>
      <sz val="10"/>
      <name val="Arial Narrow"/>
      <family val="2"/>
    </font>
    <font>
      <b/>
      <sz val="10"/>
      <color rgb="FFFF0000"/>
      <name val="Arial Narrow"/>
      <family val="2"/>
    </font>
    <font>
      <b/>
      <sz val="11"/>
      <name val="Arial Narrow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color indexed="9"/>
      <name val="Arial"/>
      <family val="2"/>
    </font>
    <font>
      <b/>
      <sz val="10"/>
      <color indexed="63"/>
      <name val="Arial"/>
      <family val="2"/>
    </font>
    <font>
      <b/>
      <sz val="10"/>
      <color indexed="52"/>
      <name val="Arial"/>
      <family val="2"/>
    </font>
    <font>
      <sz val="10"/>
      <color indexed="62"/>
      <name val="Arial"/>
      <family val="2"/>
    </font>
    <font>
      <b/>
      <sz val="10"/>
      <color indexed="8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sz val="10"/>
      <color indexed="60"/>
      <name val="Arial"/>
      <family val="2"/>
    </font>
    <font>
      <sz val="10"/>
      <name val="Times New Roman"/>
      <family val="1"/>
    </font>
    <font>
      <sz val="10"/>
      <color indexed="20"/>
      <name val="Arial"/>
      <family val="2"/>
    </font>
    <font>
      <sz val="11"/>
      <color indexed="8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b/>
      <sz val="18"/>
      <color indexed="56"/>
      <name val="Cambria"/>
      <family val="2"/>
    </font>
    <font>
      <sz val="10"/>
      <color indexed="52"/>
      <name val="Arial"/>
      <family val="2"/>
    </font>
    <font>
      <sz val="10"/>
      <color indexed="10"/>
      <name val="Arial"/>
      <family val="2"/>
    </font>
    <font>
      <b/>
      <sz val="10"/>
      <color indexed="9"/>
      <name val="Arial"/>
      <family val="2"/>
    </font>
    <font>
      <b/>
      <sz val="12"/>
      <name val="Arial Narrow"/>
      <family val="2"/>
    </font>
    <font>
      <b/>
      <sz val="10"/>
      <color indexed="81"/>
      <name val="Tahoma"/>
      <family val="2"/>
    </font>
    <font>
      <sz val="10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indexed="10"/>
      <name val="Arial Narrow"/>
      <family val="2"/>
    </font>
    <font>
      <sz val="12"/>
      <name val="Arial Narrow"/>
      <family val="2"/>
    </font>
  </fonts>
  <fills count="36">
    <fill>
      <patternFill patternType="none"/>
    </fill>
    <fill>
      <patternFill patternType="gray125"/>
    </fill>
    <fill>
      <patternFill patternType="gray0625"/>
    </fill>
    <fill>
      <patternFill patternType="solid">
        <fgColor theme="4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5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0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/>
      <diagonal/>
    </border>
    <border>
      <left style="hair">
        <color auto="1"/>
      </left>
      <right/>
      <top style="thin">
        <color indexed="64"/>
      </top>
      <bottom/>
      <diagonal/>
    </border>
    <border>
      <left style="double">
        <color indexed="64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double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116">
    <xf numFmtId="164" fontId="0" fillId="0" borderId="0"/>
    <xf numFmtId="40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2" fillId="0" borderId="0"/>
    <xf numFmtId="170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15" borderId="0" applyNumberFormat="0" applyBorder="0" applyAlignment="0" applyProtection="0"/>
    <xf numFmtId="0" fontId="23" fillId="18" borderId="0" applyNumberFormat="0" applyBorder="0" applyAlignment="0" applyProtection="0"/>
    <xf numFmtId="0" fontId="23" fillId="21" borderId="0" applyNumberFormat="0" applyBorder="0" applyAlignment="0" applyProtection="0"/>
    <xf numFmtId="0" fontId="24" fillId="22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5" borderId="0" applyNumberFormat="0" applyBorder="0" applyAlignment="0" applyProtection="0"/>
    <xf numFmtId="0" fontId="25" fillId="26" borderId="0" applyNumberFormat="0" applyBorder="0" applyAlignment="0" applyProtection="0"/>
    <xf numFmtId="0" fontId="25" fillId="27" borderId="0" applyNumberFormat="0" applyBorder="0" applyAlignment="0" applyProtection="0"/>
    <xf numFmtId="0" fontId="25" fillId="28" borderId="0" applyNumberFormat="0" applyBorder="0" applyAlignment="0" applyProtection="0"/>
    <xf numFmtId="0" fontId="25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29" borderId="0" applyNumberFormat="0" applyBorder="0" applyAlignment="0" applyProtection="0"/>
    <xf numFmtId="0" fontId="26" fillId="30" borderId="77" applyNumberFormat="0" applyAlignment="0" applyProtection="0"/>
    <xf numFmtId="0" fontId="27" fillId="30" borderId="78" applyNumberFormat="0" applyAlignment="0" applyProtection="0"/>
    <xf numFmtId="0" fontId="28" fillId="17" borderId="78" applyNumberFormat="0" applyAlignment="0" applyProtection="0"/>
    <xf numFmtId="0" fontId="29" fillId="0" borderId="79" applyNumberFormat="0" applyFill="0" applyAlignment="0" applyProtection="0"/>
    <xf numFmtId="0" fontId="30" fillId="0" borderId="0" applyNumberFormat="0" applyFill="0" applyBorder="0" applyAlignment="0" applyProtection="0"/>
    <xf numFmtId="0" fontId="31" fillId="14" borderId="0" applyNumberFormat="0" applyBorder="0" applyAlignment="0" applyProtection="0"/>
    <xf numFmtId="0" fontId="32" fillId="31" borderId="0" applyNumberFormat="0" applyBorder="0" applyAlignment="0" applyProtection="0"/>
    <xf numFmtId="0" fontId="33" fillId="0" borderId="0"/>
    <xf numFmtId="0" fontId="2" fillId="32" borderId="80" applyNumberFormat="0" applyFont="0" applyAlignment="0" applyProtection="0"/>
    <xf numFmtId="0" fontId="34" fillId="13" borderId="0" applyNumberFormat="0" applyBorder="0" applyAlignment="0" applyProtection="0"/>
    <xf numFmtId="16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35" fillId="0" borderId="0"/>
    <xf numFmtId="0" fontId="2" fillId="0" borderId="0"/>
    <xf numFmtId="174" fontId="18" fillId="0" borderId="76" applyBorder="0" applyAlignment="0">
      <alignment horizontal="center"/>
    </xf>
    <xf numFmtId="0" fontId="36" fillId="0" borderId="81" applyNumberFormat="0" applyFill="0" applyAlignment="0" applyProtection="0"/>
    <xf numFmtId="0" fontId="37" fillId="0" borderId="82" applyNumberFormat="0" applyFill="0" applyAlignment="0" applyProtection="0"/>
    <xf numFmtId="0" fontId="38" fillId="0" borderId="83" applyNumberFormat="0" applyFill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84" applyNumberFormat="0" applyFill="0" applyAlignment="0" applyProtection="0"/>
    <xf numFmtId="0" fontId="41" fillId="0" borderId="0" applyNumberFormat="0" applyFill="0" applyBorder="0" applyAlignment="0" applyProtection="0"/>
    <xf numFmtId="0" fontId="42" fillId="33" borderId="85" applyNumberFormat="0" applyAlignment="0" applyProtection="0"/>
    <xf numFmtId="164" fontId="2" fillId="0" borderId="0"/>
    <xf numFmtId="0" fontId="27" fillId="30" borderId="92" applyNumberFormat="0" applyAlignment="0" applyProtection="0"/>
    <xf numFmtId="0" fontId="2" fillId="32" borderId="103" applyNumberFormat="0" applyFont="0" applyAlignment="0" applyProtection="0"/>
    <xf numFmtId="0" fontId="25" fillId="26" borderId="0" applyNumberFormat="0" applyBorder="0" applyAlignment="0" applyProtection="0"/>
    <xf numFmtId="0" fontId="25" fillId="27" borderId="0" applyNumberFormat="0" applyBorder="0" applyAlignment="0" applyProtection="0"/>
    <xf numFmtId="0" fontId="2" fillId="32" borderId="94" applyNumberFormat="0" applyFont="0" applyAlignment="0" applyProtection="0"/>
    <xf numFmtId="0" fontId="25" fillId="28" borderId="0" applyNumberFormat="0" applyBorder="0" applyAlignment="0" applyProtection="0"/>
    <xf numFmtId="0" fontId="2" fillId="32" borderId="94" applyNumberFormat="0" applyFont="0" applyAlignment="0" applyProtection="0"/>
    <xf numFmtId="0" fontId="25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29" borderId="0" applyNumberFormat="0" applyBorder="0" applyAlignment="0" applyProtection="0"/>
    <xf numFmtId="0" fontId="26" fillId="30" borderId="77" applyNumberFormat="0" applyAlignment="0" applyProtection="0"/>
    <xf numFmtId="0" fontId="27" fillId="30" borderId="78" applyNumberFormat="0" applyAlignment="0" applyProtection="0"/>
    <xf numFmtId="0" fontId="28" fillId="17" borderId="101" applyNumberFormat="0" applyAlignment="0" applyProtection="0"/>
    <xf numFmtId="170" fontId="2" fillId="0" borderId="0" applyFont="0" applyFill="0" applyBorder="0" applyAlignment="0" applyProtection="0"/>
    <xf numFmtId="0" fontId="28" fillId="17" borderId="78" applyNumberFormat="0" applyAlignment="0" applyProtection="0"/>
    <xf numFmtId="0" fontId="29" fillId="0" borderId="102" applyNumberFormat="0" applyFill="0" applyAlignment="0" applyProtection="0"/>
    <xf numFmtId="0" fontId="29" fillId="0" borderId="79" applyNumberFormat="0" applyFill="0" applyAlignment="0" applyProtection="0"/>
    <xf numFmtId="0" fontId="29" fillId="0" borderId="102" applyNumberFormat="0" applyFill="0" applyAlignment="0" applyProtection="0"/>
    <xf numFmtId="0" fontId="30" fillId="0" borderId="0" applyNumberFormat="0" applyFill="0" applyBorder="0" applyAlignment="0" applyProtection="0"/>
    <xf numFmtId="0" fontId="28" fillId="17" borderId="101" applyNumberFormat="0" applyAlignment="0" applyProtection="0"/>
    <xf numFmtId="0" fontId="31" fillId="14" borderId="0" applyNumberFormat="0" applyBorder="0" applyAlignment="0" applyProtection="0"/>
    <xf numFmtId="0" fontId="29" fillId="0" borderId="93" applyNumberFormat="0" applyFill="0" applyAlignment="0" applyProtection="0"/>
    <xf numFmtId="0" fontId="32" fillId="31" borderId="0" applyNumberFormat="0" applyBorder="0" applyAlignment="0" applyProtection="0"/>
    <xf numFmtId="0" fontId="29" fillId="0" borderId="93" applyNumberFormat="0" applyFill="0" applyAlignment="0" applyProtection="0"/>
    <xf numFmtId="0" fontId="28" fillId="17" borderId="92" applyNumberFormat="0" applyAlignment="0" applyProtection="0"/>
    <xf numFmtId="0" fontId="2" fillId="32" borderId="80" applyNumberFormat="0" applyFont="0" applyAlignment="0" applyProtection="0"/>
    <xf numFmtId="0" fontId="28" fillId="17" borderId="92" applyNumberFormat="0" applyAlignment="0" applyProtection="0"/>
    <xf numFmtId="0" fontId="34" fillId="13" borderId="0" applyNumberFormat="0" applyBorder="0" applyAlignment="0" applyProtection="0"/>
    <xf numFmtId="0" fontId="27" fillId="30" borderId="92" applyNumberForma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6" fillId="30" borderId="91" applyNumberFormat="0" applyAlignment="0" applyProtection="0"/>
    <xf numFmtId="0" fontId="26" fillId="30" borderId="91" applyNumberFormat="0" applyAlignment="0" applyProtection="0"/>
    <xf numFmtId="0" fontId="2" fillId="0" borderId="0"/>
    <xf numFmtId="0" fontId="27" fillId="30" borderId="101" applyNumberFormat="0" applyAlignment="0" applyProtection="0"/>
    <xf numFmtId="0" fontId="27" fillId="30" borderId="101" applyNumberFormat="0" applyAlignment="0" applyProtection="0"/>
    <xf numFmtId="0" fontId="26" fillId="30" borderId="100" applyNumberForma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6" fillId="30" borderId="100" applyNumberFormat="0" applyAlignment="0" applyProtection="0"/>
    <xf numFmtId="0" fontId="36" fillId="0" borderId="81" applyNumberFormat="0" applyFill="0" applyAlignment="0" applyProtection="0"/>
    <xf numFmtId="0" fontId="37" fillId="0" borderId="82" applyNumberFormat="0" applyFill="0" applyAlignment="0" applyProtection="0"/>
    <xf numFmtId="0" fontId="38" fillId="0" borderId="83" applyNumberFormat="0" applyFill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84" applyNumberFormat="0" applyFill="0" applyAlignment="0" applyProtection="0"/>
    <xf numFmtId="0" fontId="41" fillId="0" borderId="0" applyNumberFormat="0" applyFill="0" applyBorder="0" applyAlignment="0" applyProtection="0"/>
    <xf numFmtId="0" fontId="42" fillId="33" borderId="85" applyNumberFormat="0" applyAlignment="0" applyProtection="0"/>
    <xf numFmtId="0" fontId="2" fillId="32" borderId="103" applyNumberFormat="0" applyFont="0" applyAlignment="0" applyProtection="0"/>
  </cellStyleXfs>
  <cellXfs count="962">
    <xf numFmtId="164" fontId="0" fillId="0" borderId="0" xfId="0"/>
    <xf numFmtId="164" fontId="0" fillId="0" borderId="0" xfId="0" applyAlignment="1">
      <alignment vertical="center"/>
    </xf>
    <xf numFmtId="164" fontId="2" fillId="0" borderId="0" xfId="0" applyFont="1" applyAlignment="1" applyProtection="1">
      <alignment horizontal="left" vertical="center"/>
    </xf>
    <xf numFmtId="164" fontId="2" fillId="0" borderId="0" xfId="0" applyFont="1" applyAlignment="1" applyProtection="1">
      <alignment horizontal="right" vertical="center"/>
    </xf>
    <xf numFmtId="164" fontId="2" fillId="0" borderId="0" xfId="0" applyFont="1" applyAlignment="1">
      <alignment vertical="center"/>
    </xf>
    <xf numFmtId="164" fontId="2" fillId="0" borderId="1" xfId="0" applyFont="1" applyBorder="1" applyAlignment="1" applyProtection="1">
      <alignment horizontal="left" vertical="center"/>
    </xf>
    <xf numFmtId="164" fontId="3" fillId="0" borderId="2" xfId="0" applyFont="1" applyBorder="1" applyAlignment="1" applyProtection="1">
      <alignment horizontal="left" vertical="center"/>
    </xf>
    <xf numFmtId="164" fontId="2" fillId="0" borderId="2" xfId="0" applyFont="1" applyBorder="1" applyAlignment="1" applyProtection="1">
      <alignment horizontal="right" vertical="center"/>
    </xf>
    <xf numFmtId="164" fontId="2" fillId="0" borderId="3" xfId="0" applyFont="1" applyBorder="1" applyAlignment="1">
      <alignment vertical="center"/>
    </xf>
    <xf numFmtId="164" fontId="2" fillId="0" borderId="2" xfId="0" applyFont="1" applyBorder="1" applyAlignment="1" applyProtection="1">
      <alignment horizontal="left" vertical="center"/>
    </xf>
    <xf numFmtId="166" fontId="2" fillId="0" borderId="2" xfId="0" applyNumberFormat="1" applyFont="1" applyBorder="1" applyAlignment="1" applyProtection="1">
      <alignment vertical="center"/>
    </xf>
    <xf numFmtId="165" fontId="2" fillId="0" borderId="2" xfId="0" applyNumberFormat="1" applyFont="1" applyBorder="1" applyAlignment="1" applyProtection="1">
      <alignment vertical="center"/>
    </xf>
    <xf numFmtId="166" fontId="2" fillId="0" borderId="4" xfId="0" applyNumberFormat="1" applyFont="1" applyBorder="1" applyAlignment="1" applyProtection="1">
      <alignment vertical="center"/>
    </xf>
    <xf numFmtId="164" fontId="2" fillId="0" borderId="3" xfId="0" applyFont="1" applyBorder="1" applyAlignment="1" applyProtection="1">
      <alignment horizontal="left" vertical="center"/>
    </xf>
    <xf numFmtId="164" fontId="2" fillId="0" borderId="0" xfId="0" applyFont="1" applyBorder="1" applyAlignment="1" applyProtection="1">
      <alignment horizontal="left" vertical="center"/>
    </xf>
    <xf numFmtId="166" fontId="2" fillId="0" borderId="0" xfId="0" applyNumberFormat="1" applyFont="1" applyBorder="1" applyAlignment="1" applyProtection="1">
      <alignment vertical="center"/>
    </xf>
    <xf numFmtId="165" fontId="2" fillId="0" borderId="0" xfId="0" applyNumberFormat="1" applyFont="1" applyBorder="1" applyAlignment="1" applyProtection="1">
      <alignment vertical="center"/>
    </xf>
    <xf numFmtId="166" fontId="2" fillId="0" borderId="5" xfId="0" applyNumberFormat="1" applyFont="1" applyBorder="1" applyAlignment="1" applyProtection="1">
      <alignment vertical="center"/>
    </xf>
    <xf numFmtId="164" fontId="2" fillId="0" borderId="6" xfId="0" applyFont="1" applyBorder="1" applyAlignment="1" applyProtection="1">
      <alignment horizontal="left" vertical="center"/>
    </xf>
    <xf numFmtId="164" fontId="2" fillId="0" borderId="7" xfId="0" applyFont="1" applyBorder="1" applyAlignment="1" applyProtection="1">
      <alignment horizontal="left" vertical="center"/>
    </xf>
    <xf numFmtId="166" fontId="2" fillId="0" borderId="7" xfId="0" applyNumberFormat="1" applyFont="1" applyBorder="1" applyAlignment="1" applyProtection="1">
      <alignment vertical="center"/>
    </xf>
    <xf numFmtId="166" fontId="2" fillId="0" borderId="8" xfId="0" applyNumberFormat="1" applyFont="1" applyBorder="1" applyAlignment="1" applyProtection="1">
      <alignment vertical="center"/>
    </xf>
    <xf numFmtId="164" fontId="3" fillId="0" borderId="9" xfId="0" applyFont="1" applyBorder="1" applyAlignment="1" applyProtection="1">
      <alignment horizontal="left" vertical="center"/>
    </xf>
    <xf numFmtId="164" fontId="3" fillId="0" borderId="10" xfId="0" applyFont="1" applyBorder="1" applyAlignment="1" applyProtection="1">
      <alignment horizontal="left" vertical="center"/>
    </xf>
    <xf numFmtId="166" fontId="3" fillId="0" borderId="10" xfId="0" applyNumberFormat="1" applyFont="1" applyBorder="1" applyAlignment="1" applyProtection="1">
      <alignment vertical="center"/>
    </xf>
    <xf numFmtId="165" fontId="2" fillId="0" borderId="10" xfId="0" applyNumberFormat="1" applyFont="1" applyBorder="1" applyAlignment="1" applyProtection="1">
      <alignment vertical="center"/>
    </xf>
    <xf numFmtId="166" fontId="3" fillId="0" borderId="11" xfId="0" applyNumberFormat="1" applyFont="1" applyBorder="1" applyAlignment="1" applyProtection="1">
      <alignment vertical="center"/>
    </xf>
    <xf numFmtId="164" fontId="2" fillId="0" borderId="1" xfId="0" applyFont="1" applyBorder="1" applyAlignment="1">
      <alignment vertical="center"/>
    </xf>
    <xf numFmtId="164" fontId="2" fillId="0" borderId="2" xfId="0" applyFont="1" applyBorder="1" applyAlignment="1">
      <alignment vertical="center"/>
    </xf>
    <xf numFmtId="164" fontId="2" fillId="0" borderId="0" xfId="0" applyFont="1" applyBorder="1" applyAlignment="1">
      <alignment vertical="center"/>
    </xf>
    <xf numFmtId="164" fontId="2" fillId="0" borderId="6" xfId="0" applyFont="1" applyBorder="1" applyAlignment="1">
      <alignment vertical="center"/>
    </xf>
    <xf numFmtId="164" fontId="2" fillId="0" borderId="7" xfId="0" applyFont="1" applyBorder="1" applyAlignment="1">
      <alignment vertical="center"/>
    </xf>
    <xf numFmtId="164" fontId="3" fillId="2" borderId="0" xfId="0" applyFont="1" applyFill="1" applyAlignment="1">
      <alignment vertical="center"/>
    </xf>
    <xf numFmtId="166" fontId="3" fillId="2" borderId="0" xfId="0" applyNumberFormat="1" applyFont="1" applyFill="1" applyAlignment="1" applyProtection="1">
      <alignment vertical="center"/>
    </xf>
    <xf numFmtId="166" fontId="3" fillId="2" borderId="0" xfId="0" applyNumberFormat="1" applyFont="1" applyFill="1" applyBorder="1" applyAlignment="1" applyProtection="1">
      <alignment vertical="center"/>
    </xf>
    <xf numFmtId="166" fontId="3" fillId="2" borderId="5" xfId="0" applyNumberFormat="1" applyFont="1" applyFill="1" applyBorder="1" applyAlignment="1" applyProtection="1">
      <alignment vertical="center"/>
    </xf>
    <xf numFmtId="164" fontId="3" fillId="2" borderId="6" xfId="0" applyFont="1" applyFill="1" applyBorder="1" applyAlignment="1">
      <alignment vertical="center"/>
    </xf>
    <xf numFmtId="164" fontId="3" fillId="2" borderId="7" xfId="0" applyFont="1" applyFill="1" applyBorder="1" applyAlignment="1">
      <alignment vertical="center"/>
    </xf>
    <xf numFmtId="166" fontId="3" fillId="2" borderId="7" xfId="0" applyNumberFormat="1" applyFont="1" applyFill="1" applyBorder="1" applyAlignment="1" applyProtection="1">
      <alignment vertical="center"/>
    </xf>
    <xf numFmtId="165" fontId="3" fillId="2" borderId="7" xfId="0" applyNumberFormat="1" applyFont="1" applyFill="1" applyBorder="1" applyAlignment="1" applyProtection="1">
      <alignment vertical="center"/>
    </xf>
    <xf numFmtId="166" fontId="3" fillId="2" borderId="8" xfId="0" applyNumberFormat="1" applyFont="1" applyFill="1" applyBorder="1" applyAlignment="1" applyProtection="1">
      <alignment vertical="center"/>
    </xf>
    <xf numFmtId="165" fontId="2" fillId="0" borderId="0" xfId="0" applyNumberFormat="1" applyFont="1" applyBorder="1" applyAlignment="1" applyProtection="1">
      <alignment horizontal="right" vertical="center"/>
    </xf>
    <xf numFmtId="164" fontId="4" fillId="0" borderId="0" xfId="0" applyFont="1" applyBorder="1" applyAlignment="1">
      <alignment horizontal="right" vertical="center"/>
    </xf>
    <xf numFmtId="164" fontId="4" fillId="0" borderId="7" xfId="0" applyFont="1" applyBorder="1" applyAlignment="1">
      <alignment horizontal="right" vertical="center"/>
    </xf>
    <xf numFmtId="164" fontId="5" fillId="0" borderId="0" xfId="0" applyFont="1" applyAlignment="1">
      <alignment vertical="center"/>
    </xf>
    <xf numFmtId="164" fontId="6" fillId="0" borderId="0" xfId="0" applyFont="1" applyAlignment="1">
      <alignment vertical="center"/>
    </xf>
    <xf numFmtId="164" fontId="2" fillId="0" borderId="0" xfId="0" applyFont="1" applyBorder="1" applyAlignment="1">
      <alignment horizontal="right" vertical="center"/>
    </xf>
    <xf numFmtId="164" fontId="3" fillId="2" borderId="3" xfId="0" quotePrefix="1" applyFont="1" applyFill="1" applyBorder="1" applyAlignment="1">
      <alignment vertical="center"/>
    </xf>
    <xf numFmtId="164" fontId="3" fillId="0" borderId="9" xfId="0" applyFont="1" applyBorder="1" applyAlignment="1">
      <alignment vertical="center"/>
    </xf>
    <xf numFmtId="164" fontId="3" fillId="0" borderId="10" xfId="0" applyFont="1" applyBorder="1" applyAlignment="1">
      <alignment vertical="center"/>
    </xf>
    <xf numFmtId="165" fontId="3" fillId="0" borderId="2" xfId="0" applyNumberFormat="1" applyFont="1" applyBorder="1" applyAlignment="1" applyProtection="1">
      <alignment vertical="center"/>
    </xf>
    <xf numFmtId="165" fontId="3" fillId="0" borderId="10" xfId="0" applyNumberFormat="1" applyFont="1" applyBorder="1" applyAlignment="1" applyProtection="1">
      <alignment vertical="center"/>
    </xf>
    <xf numFmtId="164" fontId="0" fillId="0" borderId="0" xfId="0" applyBorder="1"/>
    <xf numFmtId="164" fontId="0" fillId="0" borderId="0" xfId="0" applyAlignment="1">
      <alignment horizontal="right" vertical="center"/>
    </xf>
    <xf numFmtId="164" fontId="3" fillId="0" borderId="2" xfId="0" applyFont="1" applyBorder="1" applyAlignment="1" applyProtection="1">
      <alignment horizontal="right" vertical="center"/>
    </xf>
    <xf numFmtId="164" fontId="3" fillId="0" borderId="4" xfId="0" applyFont="1" applyBorder="1" applyAlignment="1" applyProtection="1">
      <alignment horizontal="right" vertical="center"/>
    </xf>
    <xf numFmtId="164" fontId="2" fillId="0" borderId="3" xfId="0" quotePrefix="1" applyFont="1" applyBorder="1" applyAlignment="1">
      <alignment vertical="center"/>
    </xf>
    <xf numFmtId="164" fontId="5" fillId="0" borderId="2" xfId="0" applyFont="1" applyBorder="1" applyAlignment="1">
      <alignment horizontal="centerContinuous" vertical="center"/>
    </xf>
    <xf numFmtId="165" fontId="5" fillId="0" borderId="0" xfId="0" quotePrefix="1" applyNumberFormat="1" applyFont="1" applyBorder="1" applyAlignment="1">
      <alignment horizontal="right" vertical="center"/>
    </xf>
    <xf numFmtId="38" fontId="2" fillId="0" borderId="0" xfId="1" applyNumberFormat="1" applyFont="1" applyAlignment="1">
      <alignment horizontal="right" vertical="center"/>
    </xf>
    <xf numFmtId="165" fontId="2" fillId="0" borderId="7" xfId="0" applyNumberFormat="1" applyFont="1" applyBorder="1" applyAlignment="1">
      <alignment horizontal="right" vertical="center"/>
    </xf>
    <xf numFmtId="165" fontId="5" fillId="0" borderId="0" xfId="0" applyNumberFormat="1" applyFont="1" applyBorder="1" applyAlignment="1">
      <alignment horizontal="right" vertical="center"/>
    </xf>
    <xf numFmtId="164" fontId="12" fillId="0" borderId="0" xfId="0" applyFont="1" applyAlignment="1" applyProtection="1">
      <alignment horizontal="right" vertical="center"/>
    </xf>
    <xf numFmtId="164" fontId="12" fillId="0" borderId="0" xfId="0" applyFont="1" applyBorder="1" applyAlignment="1" applyProtection="1">
      <alignment horizontal="right" vertical="center"/>
    </xf>
    <xf numFmtId="164" fontId="12" fillId="0" borderId="5" xfId="0" applyFont="1" applyBorder="1" applyAlignment="1" applyProtection="1">
      <alignment horizontal="right" vertical="center"/>
    </xf>
    <xf numFmtId="164" fontId="0" fillId="0" borderId="0" xfId="0" applyAlignment="1">
      <alignment horizontal="right"/>
    </xf>
    <xf numFmtId="164" fontId="11" fillId="0" borderId="0" xfId="0" applyFont="1" applyAlignment="1">
      <alignment horizontal="right"/>
    </xf>
    <xf numFmtId="164" fontId="11" fillId="0" borderId="0" xfId="0" applyFont="1" applyBorder="1" applyAlignment="1">
      <alignment horizontal="right"/>
    </xf>
    <xf numFmtId="164" fontId="11" fillId="0" borderId="0" xfId="0" applyFont="1" applyBorder="1"/>
    <xf numFmtId="164" fontId="11" fillId="0" borderId="0" xfId="0" applyFont="1"/>
    <xf numFmtId="38" fontId="12" fillId="0" borderId="12" xfId="0" applyNumberFormat="1" applyFont="1" applyBorder="1" applyAlignment="1">
      <alignment horizontal="right" vertical="center"/>
    </xf>
    <xf numFmtId="164" fontId="0" fillId="0" borderId="0" xfId="0" applyBorder="1" applyAlignment="1">
      <alignment horizontal="right"/>
    </xf>
    <xf numFmtId="164" fontId="14" fillId="0" borderId="13" xfId="0" applyFont="1" applyBorder="1" applyAlignment="1">
      <alignment horizontal="left" vertical="center"/>
    </xf>
    <xf numFmtId="38" fontId="4" fillId="0" borderId="0" xfId="0" applyNumberFormat="1" applyFont="1" applyBorder="1" applyAlignment="1">
      <alignment horizontal="right" vertical="center"/>
    </xf>
    <xf numFmtId="164" fontId="5" fillId="0" borderId="0" xfId="0" applyFont="1" applyBorder="1" applyAlignment="1">
      <alignment horizontal="right" vertical="center"/>
    </xf>
    <xf numFmtId="164" fontId="7" fillId="0" borderId="0" xfId="0" applyFont="1" applyBorder="1" applyAlignment="1">
      <alignment horizontal="right" vertical="center"/>
    </xf>
    <xf numFmtId="164" fontId="0" fillId="0" borderId="0" xfId="0" applyBorder="1" applyAlignment="1">
      <alignment horizontal="right" vertical="center"/>
    </xf>
    <xf numFmtId="164" fontId="0" fillId="0" borderId="0" xfId="0" applyBorder="1" applyAlignment="1">
      <alignment horizontal="center" vertical="center"/>
    </xf>
    <xf numFmtId="164" fontId="0" fillId="0" borderId="0" xfId="0" applyAlignment="1">
      <alignment horizontal="center" vertical="center"/>
    </xf>
    <xf numFmtId="38" fontId="5" fillId="0" borderId="0" xfId="0" applyNumberFormat="1" applyFont="1" applyBorder="1" applyAlignment="1">
      <alignment horizontal="right" vertical="center"/>
    </xf>
    <xf numFmtId="38" fontId="5" fillId="0" borderId="0" xfId="1" applyNumberFormat="1" applyFont="1" applyBorder="1" applyAlignment="1">
      <alignment horizontal="right" vertical="center"/>
    </xf>
    <xf numFmtId="37" fontId="5" fillId="0" borderId="0" xfId="0" applyNumberFormat="1" applyFont="1" applyBorder="1" applyAlignment="1">
      <alignment horizontal="right" vertical="center"/>
    </xf>
    <xf numFmtId="164" fontId="9" fillId="0" borderId="0" xfId="0" applyFont="1" applyBorder="1" applyAlignment="1">
      <alignment horizontal="right" vertical="center"/>
    </xf>
    <xf numFmtId="164" fontId="0" fillId="0" borderId="0" xfId="0" applyAlignment="1">
      <alignment horizontal="left"/>
    </xf>
    <xf numFmtId="38" fontId="5" fillId="0" borderId="0" xfId="0" applyNumberFormat="1" applyFont="1" applyAlignment="1">
      <alignment horizontal="right" vertical="center"/>
    </xf>
    <xf numFmtId="38" fontId="2" fillId="0" borderId="0" xfId="0" applyNumberFormat="1" applyFont="1" applyAlignment="1">
      <alignment horizontal="right" vertical="center"/>
    </xf>
    <xf numFmtId="164" fontId="2" fillId="0" borderId="0" xfId="0" applyFont="1" applyAlignment="1">
      <alignment horizontal="left" vertical="center"/>
    </xf>
    <xf numFmtId="38" fontId="0" fillId="0" borderId="0" xfId="0" applyNumberFormat="1" applyAlignment="1">
      <alignment horizontal="right"/>
    </xf>
    <xf numFmtId="38" fontId="11" fillId="0" borderId="0" xfId="0" applyNumberFormat="1" applyFont="1" applyBorder="1" applyAlignment="1">
      <alignment horizontal="right"/>
    </xf>
    <xf numFmtId="38" fontId="9" fillId="0" borderId="0" xfId="0" applyNumberFormat="1" applyFont="1" applyBorder="1" applyAlignment="1">
      <alignment horizontal="right" vertical="center"/>
    </xf>
    <xf numFmtId="38" fontId="5" fillId="0" borderId="0" xfId="1" applyNumberFormat="1" applyFont="1" applyAlignment="1">
      <alignment horizontal="right" vertical="center"/>
    </xf>
    <xf numFmtId="38" fontId="0" fillId="0" borderId="0" xfId="0" applyNumberFormat="1" applyBorder="1" applyAlignment="1">
      <alignment horizontal="right"/>
    </xf>
    <xf numFmtId="38" fontId="2" fillId="0" borderId="0" xfId="0" applyNumberFormat="1" applyFont="1" applyBorder="1" applyAlignment="1">
      <alignment horizontal="right" vertical="center"/>
    </xf>
    <xf numFmtId="38" fontId="2" fillId="0" borderId="0" xfId="1" applyNumberFormat="1" applyFont="1" applyAlignment="1">
      <alignment horizontal="right"/>
    </xf>
    <xf numFmtId="38" fontId="11" fillId="0" borderId="0" xfId="0" applyNumberFormat="1" applyFont="1" applyAlignment="1">
      <alignment horizontal="right" vertical="center"/>
    </xf>
    <xf numFmtId="38" fontId="11" fillId="0" borderId="0" xfId="0" applyNumberFormat="1" applyFont="1" applyAlignment="1">
      <alignment horizontal="right"/>
    </xf>
    <xf numFmtId="164" fontId="5" fillId="0" borderId="15" xfId="0" applyFont="1" applyBorder="1" applyAlignment="1">
      <alignment horizontal="left" vertical="center"/>
    </xf>
    <xf numFmtId="38" fontId="5" fillId="0" borderId="16" xfId="0" applyNumberFormat="1" applyFont="1" applyBorder="1" applyAlignment="1">
      <alignment horizontal="right" vertical="center"/>
    </xf>
    <xf numFmtId="38" fontId="5" fillId="0" borderId="18" xfId="0" applyNumberFormat="1" applyFont="1" applyBorder="1" applyAlignment="1">
      <alignment horizontal="right" vertical="center"/>
    </xf>
    <xf numFmtId="164" fontId="5" fillId="0" borderId="19" xfId="0" applyFont="1" applyBorder="1" applyAlignment="1">
      <alignment horizontal="left" vertical="center"/>
    </xf>
    <xf numFmtId="38" fontId="5" fillId="0" borderId="20" xfId="0" applyNumberFormat="1" applyFont="1" applyBorder="1" applyAlignment="1">
      <alignment horizontal="right" vertical="center"/>
    </xf>
    <xf numFmtId="38" fontId="5" fillId="0" borderId="20" xfId="1" applyNumberFormat="1" applyFont="1" applyBorder="1" applyAlignment="1">
      <alignment horizontal="right" vertical="center"/>
    </xf>
    <xf numFmtId="38" fontId="5" fillId="0" borderId="18" xfId="1" applyNumberFormat="1" applyFont="1" applyBorder="1" applyAlignment="1">
      <alignment horizontal="right" vertical="center"/>
    </xf>
    <xf numFmtId="38" fontId="8" fillId="0" borderId="18" xfId="0" quotePrefix="1" applyNumberFormat="1" applyFont="1" applyBorder="1" applyAlignment="1">
      <alignment horizontal="left" vertical="center"/>
    </xf>
    <xf numFmtId="164" fontId="8" fillId="0" borderId="17" xfId="0" quotePrefix="1" applyFont="1" applyBorder="1" applyAlignment="1">
      <alignment horizontal="left" vertical="center"/>
    </xf>
    <xf numFmtId="164" fontId="10" fillId="0" borderId="5" xfId="0" applyFont="1" applyBorder="1" applyAlignment="1">
      <alignment horizontal="right" vertical="center"/>
    </xf>
    <xf numFmtId="38" fontId="5" fillId="0" borderId="21" xfId="0" quotePrefix="1" applyNumberFormat="1" applyFont="1" applyBorder="1" applyAlignment="1">
      <alignment horizontal="right" vertical="center"/>
    </xf>
    <xf numFmtId="38" fontId="5" fillId="0" borderId="21" xfId="0" applyNumberFormat="1" applyFont="1" applyBorder="1" applyAlignment="1">
      <alignment horizontal="right" vertical="center"/>
    </xf>
    <xf numFmtId="167" fontId="5" fillId="0" borderId="22" xfId="0" applyNumberFormat="1" applyFont="1" applyBorder="1" applyAlignment="1">
      <alignment horizontal="right" vertical="center"/>
    </xf>
    <xf numFmtId="167" fontId="5" fillId="0" borderId="16" xfId="0" applyNumberFormat="1" applyFont="1" applyBorder="1" applyAlignment="1">
      <alignment horizontal="right" vertical="center"/>
    </xf>
    <xf numFmtId="167" fontId="5" fillId="0" borderId="16" xfId="0" quotePrefix="1" applyNumberFormat="1" applyFont="1" applyBorder="1" applyAlignment="1">
      <alignment horizontal="right" vertical="center"/>
    </xf>
    <xf numFmtId="165" fontId="2" fillId="0" borderId="7" xfId="0" applyNumberFormat="1" applyFont="1" applyBorder="1" applyAlignment="1" applyProtection="1">
      <alignment vertical="center"/>
    </xf>
    <xf numFmtId="168" fontId="2" fillId="0" borderId="3" xfId="0" applyNumberFormat="1" applyFont="1" applyBorder="1" applyAlignment="1">
      <alignment vertical="center"/>
    </xf>
    <xf numFmtId="168" fontId="2" fillId="0" borderId="0" xfId="0" applyNumberFormat="1" applyFont="1" applyAlignment="1">
      <alignment horizontal="right" vertical="center"/>
    </xf>
    <xf numFmtId="168" fontId="10" fillId="0" borderId="0" xfId="0" applyNumberFormat="1" applyFont="1" applyAlignment="1">
      <alignment horizontal="right" vertical="center"/>
    </xf>
    <xf numFmtId="168" fontId="2" fillId="0" borderId="0" xfId="0" applyNumberFormat="1" applyFont="1" applyAlignment="1">
      <alignment vertical="center"/>
    </xf>
    <xf numFmtId="168" fontId="10" fillId="0" borderId="0" xfId="0" applyNumberFormat="1" applyFont="1" applyBorder="1" applyAlignment="1">
      <alignment horizontal="right" vertical="center"/>
    </xf>
    <xf numFmtId="168" fontId="3" fillId="2" borderId="10" xfId="0" applyNumberFormat="1" applyFont="1" applyFill="1" applyBorder="1" applyAlignment="1" applyProtection="1">
      <alignment horizontal="right" vertical="center"/>
    </xf>
    <xf numFmtId="168" fontId="2" fillId="0" borderId="2" xfId="0" applyNumberFormat="1" applyFont="1" applyBorder="1" applyAlignment="1" applyProtection="1">
      <alignment vertical="center"/>
    </xf>
    <xf numFmtId="168" fontId="2" fillId="0" borderId="4" xfId="0" applyNumberFormat="1" applyFont="1" applyBorder="1" applyAlignment="1" applyProtection="1">
      <alignment vertical="center"/>
    </xf>
    <xf numFmtId="168" fontId="2" fillId="0" borderId="1" xfId="0" applyNumberFormat="1" applyFont="1" applyBorder="1" applyAlignment="1">
      <alignment vertical="center"/>
    </xf>
    <xf numFmtId="168" fontId="2" fillId="0" borderId="6" xfId="0" applyNumberFormat="1" applyFont="1" applyBorder="1" applyAlignment="1">
      <alignment vertical="center"/>
    </xf>
    <xf numFmtId="168" fontId="2" fillId="0" borderId="7" xfId="0" applyNumberFormat="1" applyFont="1" applyBorder="1" applyAlignment="1">
      <alignment vertical="center"/>
    </xf>
    <xf numFmtId="168" fontId="2" fillId="0" borderId="0" xfId="0" applyNumberFormat="1" applyFont="1" applyBorder="1" applyAlignment="1" applyProtection="1">
      <alignment vertical="center"/>
    </xf>
    <xf numFmtId="168" fontId="0" fillId="0" borderId="0" xfId="0" applyNumberFormat="1"/>
    <xf numFmtId="164" fontId="5" fillId="0" borderId="2" xfId="0" applyFont="1" applyBorder="1" applyAlignment="1">
      <alignment vertical="center"/>
    </xf>
    <xf numFmtId="164" fontId="0" fillId="0" borderId="0" xfId="0" quotePrefix="1" applyAlignment="1">
      <alignment horizontal="left" vertical="center"/>
    </xf>
    <xf numFmtId="164" fontId="0" fillId="0" borderId="0" xfId="0" applyAlignment="1">
      <alignment horizontal="left" vertical="center"/>
    </xf>
    <xf numFmtId="164" fontId="0" fillId="0" borderId="0" xfId="0" quotePrefix="1" applyAlignment="1">
      <alignment horizontal="left" vertical="center" wrapText="1"/>
    </xf>
    <xf numFmtId="164" fontId="14" fillId="0" borderId="25" xfId="0" applyFont="1" applyBorder="1" applyAlignment="1">
      <alignment horizontal="left" vertical="center"/>
    </xf>
    <xf numFmtId="164" fontId="9" fillId="0" borderId="26" xfId="0" applyFont="1" applyBorder="1" applyAlignment="1">
      <alignment horizontal="left" vertical="center"/>
    </xf>
    <xf numFmtId="38" fontId="7" fillId="0" borderId="0" xfId="0" applyNumberFormat="1" applyFont="1" applyBorder="1" applyAlignment="1">
      <alignment horizontal="right" vertical="center"/>
    </xf>
    <xf numFmtId="164" fontId="9" fillId="0" borderId="27" xfId="0" applyFont="1" applyBorder="1" applyAlignment="1">
      <alignment vertical="center"/>
    </xf>
    <xf numFmtId="168" fontId="4" fillId="0" borderId="28" xfId="0" applyNumberFormat="1" applyFont="1" applyBorder="1" applyAlignment="1">
      <alignment horizontal="left" vertical="center"/>
    </xf>
    <xf numFmtId="168" fontId="12" fillId="0" borderId="7" xfId="0" applyNumberFormat="1" applyFont="1" applyBorder="1" applyAlignment="1">
      <alignment horizontal="right" vertical="center"/>
    </xf>
    <xf numFmtId="168" fontId="8" fillId="0" borderId="10" xfId="0" applyNumberFormat="1" applyFont="1" applyBorder="1" applyAlignment="1">
      <alignment horizontal="center" vertical="center" wrapText="1"/>
    </xf>
    <xf numFmtId="164" fontId="4" fillId="0" borderId="12" xfId="0" applyFont="1" applyBorder="1" applyAlignment="1">
      <alignment horizontal="right" vertical="center"/>
    </xf>
    <xf numFmtId="164" fontId="4" fillId="0" borderId="25" xfId="0" applyFont="1" applyBorder="1" applyAlignment="1">
      <alignment vertical="center"/>
    </xf>
    <xf numFmtId="164" fontId="4" fillId="0" borderId="13" xfId="0" applyFont="1" applyBorder="1" applyAlignment="1">
      <alignment vertical="center"/>
    </xf>
    <xf numFmtId="164" fontId="4" fillId="0" borderId="28" xfId="0" applyFont="1" applyBorder="1" applyAlignment="1">
      <alignment vertical="center"/>
    </xf>
    <xf numFmtId="164" fontId="5" fillId="0" borderId="26" xfId="0" applyFont="1" applyBorder="1" applyAlignment="1">
      <alignment vertical="center"/>
    </xf>
    <xf numFmtId="168" fontId="9" fillId="0" borderId="31" xfId="0" applyNumberFormat="1" applyFont="1" applyBorder="1" applyAlignment="1">
      <alignment vertical="center"/>
    </xf>
    <xf numFmtId="164" fontId="5" fillId="0" borderId="32" xfId="0" applyFont="1" applyBorder="1" applyAlignment="1">
      <alignment vertical="center"/>
    </xf>
    <xf numFmtId="168" fontId="11" fillId="0" borderId="31" xfId="0" applyNumberFormat="1" applyFont="1" applyBorder="1" applyAlignment="1">
      <alignment vertical="center"/>
    </xf>
    <xf numFmtId="164" fontId="0" fillId="0" borderId="24" xfId="0" applyBorder="1"/>
    <xf numFmtId="164" fontId="4" fillId="0" borderId="14" xfId="0" applyFont="1" applyBorder="1" applyAlignment="1">
      <alignment vertical="center"/>
    </xf>
    <xf numFmtId="164" fontId="7" fillId="0" borderId="30" xfId="0" applyFont="1" applyBorder="1" applyAlignment="1">
      <alignment horizontal="left" vertical="center"/>
    </xf>
    <xf numFmtId="164" fontId="7" fillId="0" borderId="14" xfId="0" applyFont="1" applyBorder="1" applyAlignment="1">
      <alignment horizontal="left" vertical="center"/>
    </xf>
    <xf numFmtId="164" fontId="0" fillId="0" borderId="14" xfId="0" applyBorder="1"/>
    <xf numFmtId="164" fontId="7" fillId="0" borderId="33" xfId="0" applyFont="1" applyBorder="1" applyAlignment="1">
      <alignment horizontal="left" vertical="center"/>
    </xf>
    <xf numFmtId="164" fontId="2" fillId="0" borderId="3" xfId="0" quotePrefix="1" applyFont="1" applyBorder="1" applyAlignment="1">
      <alignment horizontal="left" vertical="center"/>
    </xf>
    <xf numFmtId="38" fontId="13" fillId="0" borderId="20" xfId="0" applyNumberFormat="1" applyFont="1" applyBorder="1" applyAlignment="1">
      <alignment horizontal="right" vertical="center"/>
    </xf>
    <xf numFmtId="38" fontId="11" fillId="0" borderId="20" xfId="0" applyNumberFormat="1" applyFont="1" applyBorder="1" applyAlignment="1">
      <alignment horizontal="right" vertical="center"/>
    </xf>
    <xf numFmtId="38" fontId="13" fillId="0" borderId="21" xfId="0" applyNumberFormat="1" applyFont="1" applyBorder="1" applyAlignment="1">
      <alignment horizontal="right" vertical="center"/>
    </xf>
    <xf numFmtId="38" fontId="13" fillId="0" borderId="16" xfId="0" applyNumberFormat="1" applyFont="1" applyBorder="1" applyAlignment="1">
      <alignment horizontal="right" vertical="center"/>
    </xf>
    <xf numFmtId="38" fontId="13" fillId="0" borderId="21" xfId="0" quotePrefix="1" applyNumberFormat="1" applyFont="1" applyBorder="1" applyAlignment="1">
      <alignment horizontal="right" vertical="center"/>
    </xf>
    <xf numFmtId="38" fontId="5" fillId="0" borderId="35" xfId="0" applyNumberFormat="1" applyFont="1" applyBorder="1" applyAlignment="1">
      <alignment horizontal="right" vertical="center"/>
    </xf>
    <xf numFmtId="164" fontId="12" fillId="0" borderId="0" xfId="0" applyFont="1" applyBorder="1" applyAlignment="1">
      <alignment horizontal="left" vertical="center"/>
    </xf>
    <xf numFmtId="164" fontId="12" fillId="0" borderId="0" xfId="0" applyFont="1" applyAlignment="1">
      <alignment horizontal="left"/>
    </xf>
    <xf numFmtId="167" fontId="13" fillId="0" borderId="22" xfId="0" applyNumberFormat="1" applyFont="1" applyBorder="1" applyAlignment="1">
      <alignment horizontal="right" vertical="center"/>
    </xf>
    <xf numFmtId="167" fontId="13" fillId="0" borderId="16" xfId="0" applyNumberFormat="1" applyFont="1" applyBorder="1" applyAlignment="1">
      <alignment horizontal="right" vertical="center"/>
    </xf>
    <xf numFmtId="167" fontId="13" fillId="0" borderId="16" xfId="0" quotePrefix="1" applyNumberFormat="1" applyFont="1" applyBorder="1" applyAlignment="1">
      <alignment horizontal="right" vertical="center"/>
    </xf>
    <xf numFmtId="167" fontId="5" fillId="0" borderId="36" xfId="0" applyNumberFormat="1" applyFont="1" applyBorder="1" applyAlignment="1">
      <alignment horizontal="right" vertical="center"/>
    </xf>
    <xf numFmtId="167" fontId="13" fillId="0" borderId="36" xfId="0" applyNumberFormat="1" applyFont="1" applyBorder="1" applyAlignment="1">
      <alignment horizontal="right" vertical="center"/>
    </xf>
    <xf numFmtId="164" fontId="5" fillId="0" borderId="37" xfId="0" applyFont="1" applyBorder="1" applyAlignment="1">
      <alignment horizontal="left" vertical="center"/>
    </xf>
    <xf numFmtId="164" fontId="5" fillId="0" borderId="38" xfId="0" applyFont="1" applyBorder="1" applyAlignment="1">
      <alignment horizontal="left" vertical="center"/>
    </xf>
    <xf numFmtId="164" fontId="12" fillId="0" borderId="0" xfId="0" applyFont="1" applyAlignment="1">
      <alignment horizontal="left" vertical="center"/>
    </xf>
    <xf numFmtId="168" fontId="2" fillId="0" borderId="7" xfId="0" applyNumberFormat="1" applyFont="1" applyBorder="1" applyAlignment="1">
      <alignment horizontal="right" vertical="center"/>
    </xf>
    <xf numFmtId="165" fontId="2" fillId="0" borderId="8" xfId="0" applyNumberFormat="1" applyFont="1" applyBorder="1" applyAlignment="1">
      <alignment horizontal="right" vertical="center"/>
    </xf>
    <xf numFmtId="164" fontId="5" fillId="0" borderId="23" xfId="0" applyFont="1" applyBorder="1" applyAlignment="1">
      <alignment vertical="center"/>
    </xf>
    <xf numFmtId="164" fontId="5" fillId="0" borderId="15" xfId="0" applyFont="1" applyBorder="1" applyAlignment="1">
      <alignment vertical="center"/>
    </xf>
    <xf numFmtId="164" fontId="5" fillId="0" borderId="40" xfId="0" applyFont="1" applyBorder="1" applyAlignment="1">
      <alignment vertical="center"/>
    </xf>
    <xf numFmtId="164" fontId="5" fillId="0" borderId="44" xfId="0" applyFont="1" applyBorder="1" applyAlignment="1">
      <alignment vertical="center"/>
    </xf>
    <xf numFmtId="169" fontId="5" fillId="0" borderId="45" xfId="0" applyNumberFormat="1" applyFont="1" applyBorder="1" applyAlignment="1">
      <alignment vertical="center"/>
    </xf>
    <xf numFmtId="165" fontId="5" fillId="0" borderId="46" xfId="0" applyNumberFormat="1" applyFont="1" applyBorder="1" applyAlignment="1">
      <alignment vertical="center"/>
    </xf>
    <xf numFmtId="164" fontId="5" fillId="0" borderId="40" xfId="0" applyFont="1" applyBorder="1" applyAlignment="1">
      <alignment horizontal="left" vertical="center"/>
    </xf>
    <xf numFmtId="38" fontId="5" fillId="0" borderId="47" xfId="0" applyNumberFormat="1" applyFont="1" applyBorder="1" applyAlignment="1">
      <alignment horizontal="right" vertical="center"/>
    </xf>
    <xf numFmtId="38" fontId="13" fillId="0" borderId="48" xfId="0" applyNumberFormat="1" applyFont="1" applyBorder="1" applyAlignment="1">
      <alignment horizontal="right" vertical="center"/>
    </xf>
    <xf numFmtId="164" fontId="9" fillId="0" borderId="49" xfId="0" applyFont="1" applyBorder="1" applyAlignment="1">
      <alignment horizontal="left" vertical="center"/>
    </xf>
    <xf numFmtId="38" fontId="5" fillId="0" borderId="50" xfId="0" applyNumberFormat="1" applyFont="1" applyBorder="1" applyAlignment="1">
      <alignment horizontal="right" vertical="center"/>
    </xf>
    <xf numFmtId="38" fontId="5" fillId="0" borderId="12" xfId="0" applyNumberFormat="1" applyFont="1" applyBorder="1" applyAlignment="1">
      <alignment horizontal="right" vertical="center"/>
    </xf>
    <xf numFmtId="164" fontId="4" fillId="0" borderId="51" xfId="0" applyFont="1" applyBorder="1" applyAlignment="1">
      <alignment horizontal="right" vertical="center"/>
    </xf>
    <xf numFmtId="164" fontId="4" fillId="0" borderId="45" xfId="0" applyFont="1" applyBorder="1" applyAlignment="1">
      <alignment horizontal="right" vertical="center"/>
    </xf>
    <xf numFmtId="164" fontId="4" fillId="0" borderId="52" xfId="0" applyFont="1" applyBorder="1" applyAlignment="1">
      <alignment horizontal="right" vertical="center"/>
    </xf>
    <xf numFmtId="164" fontId="4" fillId="0" borderId="52" xfId="0" quotePrefix="1" applyFont="1" applyBorder="1" applyAlignment="1">
      <alignment horizontal="right" vertical="center"/>
    </xf>
    <xf numFmtId="164" fontId="4" fillId="0" borderId="43" xfId="0" applyFont="1" applyBorder="1" applyAlignment="1">
      <alignment horizontal="centerContinuous" vertical="center"/>
    </xf>
    <xf numFmtId="164" fontId="5" fillId="0" borderId="53" xfId="0" applyFont="1" applyBorder="1" applyAlignment="1">
      <alignment horizontal="centerContinuous" vertical="center"/>
    </xf>
    <xf numFmtId="164" fontId="4" fillId="0" borderId="42" xfId="0" applyFont="1" applyBorder="1" applyAlignment="1">
      <alignment horizontal="centerContinuous" vertical="center"/>
    </xf>
    <xf numFmtId="164" fontId="5" fillId="0" borderId="42" xfId="0" applyFont="1" applyBorder="1" applyAlignment="1">
      <alignment horizontal="centerContinuous" vertical="center"/>
    </xf>
    <xf numFmtId="164" fontId="5" fillId="0" borderId="54" xfId="0" applyFont="1" applyBorder="1" applyAlignment="1">
      <alignment vertical="center"/>
    </xf>
    <xf numFmtId="164" fontId="5" fillId="0" borderId="56" xfId="0" applyFont="1" applyBorder="1" applyAlignment="1">
      <alignment horizontal="left" vertical="center"/>
    </xf>
    <xf numFmtId="38" fontId="12" fillId="0" borderId="51" xfId="0" applyNumberFormat="1" applyFont="1" applyBorder="1" applyAlignment="1">
      <alignment horizontal="right" vertical="center"/>
    </xf>
    <xf numFmtId="0" fontId="12" fillId="0" borderId="45" xfId="0" applyNumberFormat="1" applyFont="1" applyBorder="1" applyAlignment="1">
      <alignment horizontal="right" vertical="center"/>
    </xf>
    <xf numFmtId="38" fontId="15" fillId="0" borderId="45" xfId="0" applyNumberFormat="1" applyFont="1" applyBorder="1" applyAlignment="1">
      <alignment horizontal="right" vertical="center"/>
    </xf>
    <xf numFmtId="0" fontId="12" fillId="0" borderId="52" xfId="0" applyNumberFormat="1" applyFont="1" applyBorder="1" applyAlignment="1">
      <alignment horizontal="right" vertical="center"/>
    </xf>
    <xf numFmtId="168" fontId="12" fillId="0" borderId="52" xfId="0" applyNumberFormat="1" applyFont="1" applyBorder="1" applyAlignment="1">
      <alignment horizontal="right" vertical="center"/>
    </xf>
    <xf numFmtId="168" fontId="16" fillId="0" borderId="35" xfId="0" applyNumberFormat="1" applyFont="1" applyBorder="1" applyAlignment="1">
      <alignment horizontal="center" vertical="center" wrapText="1" readingOrder="1"/>
    </xf>
    <xf numFmtId="168" fontId="16" fillId="0" borderId="35" xfId="0" quotePrefix="1" applyNumberFormat="1" applyFont="1" applyBorder="1" applyAlignment="1">
      <alignment horizontal="center" vertical="center" wrapText="1"/>
    </xf>
    <xf numFmtId="168" fontId="14" fillId="0" borderId="35" xfId="0" applyNumberFormat="1" applyFont="1" applyBorder="1" applyAlignment="1">
      <alignment horizontal="center" vertical="center"/>
    </xf>
    <xf numFmtId="38" fontId="8" fillId="0" borderId="35" xfId="0" applyNumberFormat="1" applyFont="1" applyBorder="1" applyAlignment="1">
      <alignment horizontal="center" vertical="center" wrapText="1"/>
    </xf>
    <xf numFmtId="38" fontId="13" fillId="0" borderId="20" xfId="1" applyNumberFormat="1" applyFont="1" applyBorder="1" applyAlignment="1">
      <alignment horizontal="right" vertical="center"/>
    </xf>
    <xf numFmtId="164" fontId="5" fillId="0" borderId="58" xfId="0" applyFont="1" applyBorder="1" applyAlignment="1">
      <alignment horizontal="left" vertical="center"/>
    </xf>
    <xf numFmtId="168" fontId="16" fillId="0" borderId="35" xfId="0" applyNumberFormat="1" applyFont="1" applyBorder="1" applyAlignment="1">
      <alignment horizontal="center" vertical="center" wrapText="1"/>
    </xf>
    <xf numFmtId="168" fontId="8" fillId="0" borderId="35" xfId="0" applyNumberFormat="1" applyFont="1" applyBorder="1" applyAlignment="1">
      <alignment horizontal="center" vertical="center" wrapText="1"/>
    </xf>
    <xf numFmtId="164" fontId="0" fillId="0" borderId="45" xfId="0" applyBorder="1" applyAlignment="1">
      <alignment horizontal="center" vertical="center"/>
    </xf>
    <xf numFmtId="38" fontId="5" fillId="0" borderId="16" xfId="0" quotePrefix="1" applyNumberFormat="1" applyFont="1" applyBorder="1" applyAlignment="1">
      <alignment horizontal="right" vertical="center"/>
    </xf>
    <xf numFmtId="164" fontId="5" fillId="0" borderId="54" xfId="0" applyFont="1" applyBorder="1" applyAlignment="1">
      <alignment horizontal="left" vertical="center"/>
    </xf>
    <xf numFmtId="164" fontId="9" fillId="0" borderId="27" xfId="0" applyFont="1" applyBorder="1" applyAlignment="1">
      <alignment horizontal="left" vertical="center"/>
    </xf>
    <xf numFmtId="164" fontId="5" fillId="0" borderId="60" xfId="0" applyFont="1" applyBorder="1" applyAlignment="1">
      <alignment horizontal="left" vertical="center"/>
    </xf>
    <xf numFmtId="165" fontId="5" fillId="0" borderId="61" xfId="0" applyNumberFormat="1" applyFont="1" applyBorder="1" applyAlignment="1">
      <alignment horizontal="right" vertical="center"/>
    </xf>
    <xf numFmtId="167" fontId="5" fillId="0" borderId="61" xfId="0" applyNumberFormat="1" applyFont="1" applyBorder="1" applyAlignment="1">
      <alignment horizontal="right" vertical="center"/>
    </xf>
    <xf numFmtId="164" fontId="7" fillId="0" borderId="55" xfId="0" applyFont="1" applyBorder="1" applyAlignment="1">
      <alignment horizontal="left" vertical="center"/>
    </xf>
    <xf numFmtId="164" fontId="7" fillId="0" borderId="59" xfId="0" applyFont="1" applyBorder="1" applyAlignment="1">
      <alignment horizontal="left" vertical="center"/>
    </xf>
    <xf numFmtId="164" fontId="0" fillId="0" borderId="59" xfId="0" applyBorder="1"/>
    <xf numFmtId="164" fontId="5" fillId="0" borderId="37" xfId="0" applyFont="1" applyBorder="1" applyAlignment="1">
      <alignment vertical="center"/>
    </xf>
    <xf numFmtId="164" fontId="7" fillId="0" borderId="62" xfId="0" applyFont="1" applyBorder="1" applyAlignment="1">
      <alignment horizontal="left" vertical="center"/>
    </xf>
    <xf numFmtId="38" fontId="12" fillId="0" borderId="0" xfId="0" applyNumberFormat="1" applyFont="1" applyBorder="1" applyAlignment="1">
      <alignment horizontal="right" vertical="center"/>
    </xf>
    <xf numFmtId="168" fontId="8" fillId="0" borderId="10" xfId="0" quotePrefix="1" applyNumberFormat="1" applyFont="1" applyBorder="1" applyAlignment="1">
      <alignment horizontal="center" vertical="center" wrapText="1"/>
    </xf>
    <xf numFmtId="38" fontId="11" fillId="0" borderId="63" xfId="0" applyNumberFormat="1" applyFont="1" applyBorder="1" applyAlignment="1">
      <alignment horizontal="right" vertical="center"/>
    </xf>
    <xf numFmtId="38" fontId="11" fillId="0" borderId="21" xfId="0" applyNumberFormat="1" applyFont="1" applyBorder="1" applyAlignment="1">
      <alignment horizontal="right" vertical="center"/>
    </xf>
    <xf numFmtId="38" fontId="11" fillId="0" borderId="48" xfId="0" applyNumberFormat="1" applyFont="1" applyBorder="1" applyAlignment="1">
      <alignment horizontal="right" vertical="center"/>
    </xf>
    <xf numFmtId="38" fontId="11" fillId="0" borderId="64" xfId="0" applyNumberFormat="1" applyFont="1" applyBorder="1" applyAlignment="1">
      <alignment horizontal="right" vertical="center"/>
    </xf>
    <xf numFmtId="38" fontId="7" fillId="0" borderId="65" xfId="0" applyNumberFormat="1" applyFont="1" applyBorder="1" applyAlignment="1">
      <alignment horizontal="right" vertical="center"/>
    </xf>
    <xf numFmtId="164" fontId="4" fillId="0" borderId="55" xfId="0" applyFont="1" applyBorder="1" applyAlignment="1">
      <alignment vertical="center"/>
    </xf>
    <xf numFmtId="164" fontId="7" fillId="0" borderId="66" xfId="0" applyFont="1" applyBorder="1" applyAlignment="1">
      <alignment horizontal="left" vertical="center"/>
    </xf>
    <xf numFmtId="164" fontId="0" fillId="0" borderId="29" xfId="0" applyBorder="1"/>
    <xf numFmtId="164" fontId="2" fillId="0" borderId="14" xfId="0" applyFont="1" applyBorder="1" applyAlignment="1">
      <alignment vertical="center"/>
    </xf>
    <xf numFmtId="164" fontId="4" fillId="0" borderId="29" xfId="0" applyFont="1" applyBorder="1" applyAlignment="1">
      <alignment vertical="center"/>
    </xf>
    <xf numFmtId="38" fontId="11" fillId="0" borderId="2" xfId="0" applyNumberFormat="1" applyFont="1" applyBorder="1" applyAlignment="1">
      <alignment horizontal="right" vertical="center"/>
    </xf>
    <xf numFmtId="38" fontId="11" fillId="0" borderId="67" xfId="0" applyNumberFormat="1" applyFont="1" applyBorder="1" applyAlignment="1">
      <alignment horizontal="right" vertical="center"/>
    </xf>
    <xf numFmtId="38" fontId="11" fillId="0" borderId="34" xfId="0" applyNumberFormat="1" applyFont="1" applyBorder="1" applyAlignment="1">
      <alignment horizontal="right" vertical="center"/>
    </xf>
    <xf numFmtId="38" fontId="7" fillId="0" borderId="68" xfId="0" applyNumberFormat="1" applyFont="1" applyBorder="1" applyAlignment="1">
      <alignment horizontal="right" vertical="center"/>
    </xf>
    <xf numFmtId="164" fontId="0" fillId="0" borderId="57" xfId="0" applyBorder="1"/>
    <xf numFmtId="167" fontId="11" fillId="0" borderId="0" xfId="0" applyNumberFormat="1" applyFont="1" applyBorder="1" applyAlignment="1">
      <alignment horizontal="right" vertical="center"/>
    </xf>
    <xf numFmtId="167" fontId="11" fillId="0" borderId="70" xfId="0" applyNumberFormat="1" applyFont="1" applyBorder="1" applyAlignment="1">
      <alignment horizontal="right" vertical="center"/>
    </xf>
    <xf numFmtId="167" fontId="11" fillId="0" borderId="67" xfId="0" applyNumberFormat="1" applyFont="1" applyBorder="1" applyAlignment="1">
      <alignment horizontal="right" vertical="center"/>
    </xf>
    <xf numFmtId="167" fontId="11" fillId="0" borderId="67" xfId="0" quotePrefix="1" applyNumberFormat="1" applyFont="1" applyBorder="1" applyAlignment="1">
      <alignment horizontal="right" vertical="center"/>
    </xf>
    <xf numFmtId="167" fontId="11" fillId="0" borderId="21" xfId="0" applyNumberFormat="1" applyFont="1" applyBorder="1" applyAlignment="1">
      <alignment horizontal="right" vertical="center"/>
    </xf>
    <xf numFmtId="167" fontId="11" fillId="0" borderId="21" xfId="0" quotePrefix="1" applyNumberFormat="1" applyFont="1" applyBorder="1" applyAlignment="1">
      <alignment horizontal="right" vertical="center"/>
    </xf>
    <xf numFmtId="167" fontId="11" fillId="0" borderId="41" xfId="0" applyNumberFormat="1" applyFont="1" applyBorder="1" applyAlignment="1">
      <alignment horizontal="right" vertical="center"/>
    </xf>
    <xf numFmtId="164" fontId="0" fillId="0" borderId="69" xfId="0" applyBorder="1"/>
    <xf numFmtId="165" fontId="2" fillId="0" borderId="2" xfId="0" applyNumberFormat="1" applyFont="1" applyBorder="1" applyAlignment="1" applyProtection="1">
      <alignment horizontal="right" vertical="center"/>
    </xf>
    <xf numFmtId="165" fontId="2" fillId="0" borderId="10" xfId="0" applyNumberFormat="1" applyFont="1" applyBorder="1" applyAlignment="1" applyProtection="1">
      <alignment horizontal="right" vertical="center"/>
    </xf>
    <xf numFmtId="165" fontId="3" fillId="0" borderId="10" xfId="0" applyNumberFormat="1" applyFont="1" applyBorder="1" applyAlignment="1" applyProtection="1">
      <alignment horizontal="right" vertical="center"/>
    </xf>
    <xf numFmtId="168" fontId="3" fillId="2" borderId="0" xfId="0" applyNumberFormat="1" applyFont="1" applyFill="1" applyBorder="1" applyAlignment="1" applyProtection="1">
      <alignment horizontal="right" vertical="center"/>
    </xf>
    <xf numFmtId="168" fontId="2" fillId="0" borderId="2" xfId="0" applyNumberFormat="1" applyFont="1" applyBorder="1" applyAlignment="1" applyProtection="1">
      <alignment horizontal="right" vertical="center"/>
    </xf>
    <xf numFmtId="165" fontId="3" fillId="2" borderId="7" xfId="0" applyNumberFormat="1" applyFont="1" applyFill="1" applyBorder="1" applyAlignment="1" applyProtection="1">
      <alignment horizontal="right" vertical="center"/>
    </xf>
    <xf numFmtId="165" fontId="2" fillId="0" borderId="7" xfId="0" applyNumberFormat="1" applyFont="1" applyBorder="1" applyAlignment="1" applyProtection="1">
      <alignment horizontal="right" vertical="center"/>
    </xf>
    <xf numFmtId="0" fontId="17" fillId="0" borderId="0" xfId="4" applyFont="1" applyProtection="1"/>
    <xf numFmtId="171" fontId="17" fillId="4" borderId="0" xfId="5" applyNumberFormat="1" applyFont="1" applyFill="1" applyProtection="1"/>
    <xf numFmtId="0" fontId="17" fillId="4" borderId="0" xfId="4" applyFont="1" applyFill="1" applyProtection="1"/>
    <xf numFmtId="0" fontId="18" fillId="4" borderId="0" xfId="4" applyFont="1" applyFill="1" applyAlignment="1" applyProtection="1">
      <alignment wrapText="1"/>
    </xf>
    <xf numFmtId="171" fontId="17" fillId="5" borderId="0" xfId="4" applyNumberFormat="1" applyFont="1" applyFill="1" applyBorder="1" applyProtection="1"/>
    <xf numFmtId="0" fontId="17" fillId="5" borderId="0" xfId="4" applyFont="1" applyFill="1" applyBorder="1" applyProtection="1"/>
    <xf numFmtId="0" fontId="18" fillId="5" borderId="0" xfId="4" applyFont="1" applyFill="1" applyBorder="1" applyProtection="1"/>
    <xf numFmtId="0" fontId="17" fillId="0" borderId="0" xfId="4" applyFont="1" applyProtection="1">
      <protection locked="0"/>
    </xf>
    <xf numFmtId="171" fontId="17" fillId="0" borderId="0" xfId="4" applyNumberFormat="1" applyFont="1" applyFill="1" applyBorder="1" applyProtection="1">
      <protection locked="0"/>
    </xf>
    <xf numFmtId="171" fontId="17" fillId="0" borderId="0" xfId="5" applyNumberFormat="1" applyFont="1" applyFill="1" applyBorder="1" applyProtection="1">
      <protection locked="0"/>
    </xf>
    <xf numFmtId="171" fontId="17" fillId="0" borderId="0" xfId="5" applyNumberFormat="1" applyFont="1" applyFill="1" applyBorder="1" applyProtection="1"/>
    <xf numFmtId="0" fontId="17" fillId="0" borderId="0" xfId="4" applyFont="1" applyFill="1" applyBorder="1" applyProtection="1"/>
    <xf numFmtId="171" fontId="18" fillId="0" borderId="0" xfId="5" applyNumberFormat="1" applyFont="1" applyFill="1" applyBorder="1" applyProtection="1"/>
    <xf numFmtId="0" fontId="18" fillId="0" borderId="0" xfId="4" applyFont="1" applyFill="1" applyBorder="1" applyProtection="1"/>
    <xf numFmtId="172" fontId="17" fillId="6" borderId="10" xfId="6" applyNumberFormat="1" applyFont="1" applyFill="1" applyBorder="1" applyProtection="1"/>
    <xf numFmtId="0" fontId="17" fillId="6" borderId="10" xfId="4" applyFont="1" applyFill="1" applyBorder="1" applyAlignment="1" applyProtection="1">
      <alignment horizontal="left" vertical="top"/>
    </xf>
    <xf numFmtId="0" fontId="17" fillId="6" borderId="10" xfId="4" applyFont="1" applyFill="1" applyBorder="1" applyAlignment="1" applyProtection="1">
      <alignment horizontal="right" vertical="top"/>
    </xf>
    <xf numFmtId="171" fontId="17" fillId="6" borderId="0" xfId="5" applyNumberFormat="1" applyFont="1" applyFill="1" applyBorder="1" applyProtection="1"/>
    <xf numFmtId="0" fontId="17" fillId="6" borderId="0" xfId="4" applyFont="1" applyFill="1" applyBorder="1" applyAlignment="1" applyProtection="1">
      <alignment horizontal="left" vertical="top"/>
    </xf>
    <xf numFmtId="0" fontId="17" fillId="6" borderId="0" xfId="4" applyFont="1" applyFill="1" applyBorder="1" applyAlignment="1" applyProtection="1">
      <alignment horizontal="right" vertical="top"/>
    </xf>
    <xf numFmtId="173" fontId="17" fillId="6" borderId="2" xfId="5" applyNumberFormat="1" applyFont="1" applyFill="1" applyBorder="1" applyProtection="1"/>
    <xf numFmtId="172" fontId="17" fillId="6" borderId="0" xfId="6" applyNumberFormat="1" applyFont="1" applyFill="1" applyBorder="1" applyProtection="1"/>
    <xf numFmtId="0" fontId="17" fillId="6" borderId="7" xfId="4" applyFont="1" applyFill="1" applyBorder="1" applyAlignment="1" applyProtection="1">
      <alignment horizontal="left" vertical="top"/>
    </xf>
    <xf numFmtId="0" fontId="17" fillId="6" borderId="7" xfId="4" applyFont="1" applyFill="1" applyBorder="1" applyAlignment="1" applyProtection="1">
      <alignment horizontal="right" vertical="top"/>
    </xf>
    <xf numFmtId="0" fontId="17" fillId="6" borderId="2" xfId="4" applyFont="1" applyFill="1" applyBorder="1" applyAlignment="1" applyProtection="1">
      <alignment horizontal="left" vertical="top"/>
    </xf>
    <xf numFmtId="172" fontId="17" fillId="6" borderId="7" xfId="6" applyNumberFormat="1" applyFont="1" applyFill="1" applyBorder="1" applyProtection="1"/>
    <xf numFmtId="172" fontId="17" fillId="6" borderId="7" xfId="6" applyNumberFormat="1" applyFont="1" applyFill="1" applyBorder="1" applyAlignment="1" applyProtection="1">
      <alignment vertical="top"/>
    </xf>
    <xf numFmtId="0" fontId="17" fillId="6" borderId="7" xfId="4" applyFont="1" applyFill="1" applyBorder="1" applyAlignment="1" applyProtection="1">
      <alignment horizontal="right" vertical="top" wrapText="1"/>
    </xf>
    <xf numFmtId="171" fontId="17" fillId="6" borderId="0" xfId="5" applyNumberFormat="1" applyFont="1" applyFill="1" applyBorder="1" applyAlignment="1" applyProtection="1">
      <alignment horizontal="right"/>
    </xf>
    <xf numFmtId="171" fontId="17" fillId="6" borderId="2" xfId="5" applyNumberFormat="1" applyFont="1" applyFill="1" applyBorder="1" applyProtection="1"/>
    <xf numFmtId="0" fontId="17" fillId="6" borderId="2" xfId="4" applyFont="1" applyFill="1" applyBorder="1" applyAlignment="1" applyProtection="1">
      <alignment horizontal="right" vertical="top"/>
    </xf>
    <xf numFmtId="173" fontId="17" fillId="6" borderId="2" xfId="5" applyNumberFormat="1" applyFont="1" applyFill="1" applyBorder="1" applyAlignment="1" applyProtection="1">
      <alignment vertical="top"/>
    </xf>
    <xf numFmtId="0" fontId="17" fillId="6" borderId="10" xfId="4" applyFont="1" applyFill="1" applyBorder="1" applyAlignment="1" applyProtection="1">
      <alignment horizontal="left" vertical="top" wrapText="1"/>
    </xf>
    <xf numFmtId="0" fontId="17" fillId="6" borderId="10" xfId="4" applyFont="1" applyFill="1" applyBorder="1" applyAlignment="1" applyProtection="1">
      <alignment horizontal="right" vertical="top" wrapText="1"/>
    </xf>
    <xf numFmtId="173" fontId="17" fillId="6" borderId="0" xfId="5" applyNumberFormat="1" applyFont="1" applyFill="1" applyBorder="1" applyAlignment="1" applyProtection="1">
      <alignment vertical="top"/>
    </xf>
    <xf numFmtId="0" fontId="17" fillId="6" borderId="0" xfId="4" applyFont="1" applyFill="1" applyBorder="1" applyAlignment="1" applyProtection="1">
      <alignment horizontal="left" vertical="top" wrapText="1"/>
    </xf>
    <xf numFmtId="0" fontId="17" fillId="6" borderId="0" xfId="4" applyFont="1" applyFill="1" applyBorder="1" applyAlignment="1" applyProtection="1">
      <alignment horizontal="right" vertical="top" wrapText="1"/>
    </xf>
    <xf numFmtId="0" fontId="17" fillId="0" borderId="0" xfId="4" applyFont="1" applyAlignment="1" applyProtection="1">
      <alignment vertical="center"/>
    </xf>
    <xf numFmtId="172" fontId="17" fillId="6" borderId="2" xfId="6" applyNumberFormat="1" applyFont="1" applyFill="1" applyBorder="1" applyAlignment="1" applyProtection="1">
      <alignment vertical="center"/>
    </xf>
    <xf numFmtId="0" fontId="17" fillId="6" borderId="2" xfId="4" applyFont="1" applyFill="1" applyBorder="1" applyAlignment="1" applyProtection="1">
      <alignment horizontal="left" vertical="top" wrapText="1"/>
    </xf>
    <xf numFmtId="0" fontId="17" fillId="6" borderId="2" xfId="4" applyFont="1" applyFill="1" applyBorder="1" applyAlignment="1" applyProtection="1">
      <alignment horizontal="right" vertical="top" wrapText="1"/>
    </xf>
    <xf numFmtId="172" fontId="17" fillId="6" borderId="7" xfId="6" applyNumberFormat="1" applyFont="1" applyFill="1" applyBorder="1" applyAlignment="1" applyProtection="1">
      <alignment vertical="center"/>
    </xf>
    <xf numFmtId="0" fontId="17" fillId="6" borderId="7" xfId="4" applyFont="1" applyFill="1" applyBorder="1" applyAlignment="1" applyProtection="1">
      <alignment horizontal="left" vertical="top" wrapText="1"/>
    </xf>
    <xf numFmtId="0" fontId="17" fillId="6" borderId="0" xfId="4" applyFont="1" applyFill="1" applyProtection="1"/>
    <xf numFmtId="0" fontId="17" fillId="6" borderId="0" xfId="4" applyFont="1" applyFill="1" applyAlignment="1" applyProtection="1">
      <alignment horizontal="right"/>
    </xf>
    <xf numFmtId="0" fontId="18" fillId="6" borderId="0" xfId="4" applyFont="1" applyFill="1" applyAlignment="1" applyProtection="1">
      <alignment horizontal="right"/>
    </xf>
    <xf numFmtId="0" fontId="17" fillId="0" borderId="0" xfId="4" applyFont="1" applyFill="1" applyProtection="1"/>
    <xf numFmtId="171" fontId="18" fillId="7" borderId="10" xfId="5" applyNumberFormat="1" applyFont="1" applyFill="1" applyBorder="1" applyProtection="1"/>
    <xf numFmtId="0" fontId="18" fillId="7" borderId="10" xfId="4" applyFont="1" applyFill="1" applyBorder="1" applyProtection="1"/>
    <xf numFmtId="0" fontId="17" fillId="7" borderId="10" xfId="4" applyFont="1" applyFill="1" applyBorder="1" applyProtection="1"/>
    <xf numFmtId="0" fontId="17" fillId="0" borderId="0" xfId="4" applyFont="1" applyFill="1" applyProtection="1">
      <protection locked="0"/>
    </xf>
    <xf numFmtId="171" fontId="19" fillId="0" borderId="41" xfId="5" applyNumberFormat="1" applyFont="1" applyFill="1" applyBorder="1" applyProtection="1">
      <protection locked="0"/>
    </xf>
    <xf numFmtId="171" fontId="19" fillId="0" borderId="36" xfId="5" applyNumberFormat="1" applyFont="1" applyFill="1" applyBorder="1" applyProtection="1">
      <protection locked="0"/>
    </xf>
    <xf numFmtId="171" fontId="19" fillId="0" borderId="36" xfId="5" applyNumberFormat="1" applyFont="1" applyFill="1" applyBorder="1" applyProtection="1"/>
    <xf numFmtId="0" fontId="19" fillId="7" borderId="36" xfId="4" applyFont="1" applyFill="1" applyBorder="1" applyProtection="1"/>
    <xf numFmtId="0" fontId="19" fillId="7" borderId="72" xfId="4" applyFont="1" applyFill="1" applyBorder="1" applyAlignment="1" applyProtection="1">
      <alignment horizontal="right"/>
    </xf>
    <xf numFmtId="171" fontId="18" fillId="0" borderId="21" xfId="5" applyNumberFormat="1" applyFont="1" applyFill="1" applyBorder="1" applyProtection="1">
      <protection locked="0"/>
    </xf>
    <xf numFmtId="171" fontId="18" fillId="0" borderId="16" xfId="5" applyNumberFormat="1" applyFont="1" applyFill="1" applyBorder="1" applyProtection="1">
      <protection locked="0"/>
    </xf>
    <xf numFmtId="171" fontId="18" fillId="0" borderId="16" xfId="5" applyNumberFormat="1" applyFont="1" applyFill="1" applyBorder="1" applyProtection="1"/>
    <xf numFmtId="0" fontId="18" fillId="7" borderId="16" xfId="4" applyFont="1" applyFill="1" applyBorder="1" applyProtection="1"/>
    <xf numFmtId="0" fontId="18" fillId="7" borderId="73" xfId="4" applyFont="1" applyFill="1" applyBorder="1" applyAlignment="1" applyProtection="1">
      <alignment horizontal="right"/>
    </xf>
    <xf numFmtId="0" fontId="19" fillId="0" borderId="0" xfId="4" applyFont="1" applyFill="1" applyAlignment="1" applyProtection="1">
      <alignment vertical="top" wrapText="1"/>
      <protection locked="0"/>
    </xf>
    <xf numFmtId="171" fontId="17" fillId="0" borderId="21" xfId="5" applyNumberFormat="1" applyFont="1" applyFill="1" applyBorder="1" applyAlignment="1" applyProtection="1">
      <alignment vertical="top" wrapText="1"/>
      <protection locked="0"/>
    </xf>
    <xf numFmtId="171" fontId="17" fillId="0" borderId="16" xfId="5" applyNumberFormat="1" applyFont="1" applyFill="1" applyBorder="1" applyAlignment="1" applyProtection="1">
      <alignment vertical="top" wrapText="1"/>
      <protection locked="0"/>
    </xf>
    <xf numFmtId="171" fontId="17" fillId="0" borderId="16" xfId="5" applyNumberFormat="1" applyFont="1" applyFill="1" applyBorder="1" applyAlignment="1" applyProtection="1">
      <alignment vertical="top" wrapText="1"/>
    </xf>
    <xf numFmtId="0" fontId="17" fillId="7" borderId="16" xfId="4" applyFont="1" applyFill="1" applyBorder="1" applyAlignment="1" applyProtection="1">
      <alignment vertical="top" wrapText="1"/>
    </xf>
    <xf numFmtId="0" fontId="17" fillId="7" borderId="73" xfId="4" applyFont="1" applyFill="1" applyBorder="1" applyAlignment="1" applyProtection="1">
      <alignment horizontal="right" vertical="top" wrapText="1"/>
    </xf>
    <xf numFmtId="0" fontId="19" fillId="0" borderId="0" xfId="4" applyFont="1" applyFill="1" applyProtection="1">
      <protection locked="0"/>
    </xf>
    <xf numFmtId="171" fontId="17" fillId="0" borderId="21" xfId="5" applyNumberFormat="1" applyFont="1" applyFill="1" applyBorder="1" applyProtection="1">
      <protection locked="0"/>
    </xf>
    <xf numFmtId="171" fontId="17" fillId="0" borderId="16" xfId="5" applyNumberFormat="1" applyFont="1" applyFill="1" applyBorder="1" applyProtection="1">
      <protection locked="0"/>
    </xf>
    <xf numFmtId="171" fontId="17" fillId="0" borderId="16" xfId="5" applyNumberFormat="1" applyFont="1" applyFill="1" applyBorder="1" applyProtection="1"/>
    <xf numFmtId="0" fontId="17" fillId="7" borderId="16" xfId="4" applyFont="1" applyFill="1" applyBorder="1" applyProtection="1"/>
    <xf numFmtId="0" fontId="17" fillId="7" borderId="73" xfId="4" applyFont="1" applyFill="1" applyBorder="1" applyAlignment="1" applyProtection="1">
      <alignment horizontal="right"/>
    </xf>
    <xf numFmtId="171" fontId="19" fillId="0" borderId="21" xfId="5" applyNumberFormat="1" applyFont="1" applyFill="1" applyBorder="1" applyProtection="1">
      <protection locked="0"/>
    </xf>
    <xf numFmtId="171" fontId="19" fillId="0" borderId="16" xfId="5" applyNumberFormat="1" applyFont="1" applyFill="1" applyBorder="1" applyProtection="1">
      <protection locked="0"/>
    </xf>
    <xf numFmtId="171" fontId="19" fillId="0" borderId="16" xfId="5" applyNumberFormat="1" applyFont="1" applyFill="1" applyBorder="1" applyProtection="1"/>
    <xf numFmtId="0" fontId="19" fillId="7" borderId="16" xfId="4" applyFont="1" applyFill="1" applyBorder="1" applyProtection="1"/>
    <xf numFmtId="0" fontId="19" fillId="7" borderId="73" xfId="4" applyFont="1" applyFill="1" applyBorder="1" applyAlignment="1" applyProtection="1">
      <alignment horizontal="right"/>
    </xf>
    <xf numFmtId="171" fontId="18" fillId="3" borderId="21" xfId="5" applyNumberFormat="1" applyFont="1" applyFill="1" applyBorder="1" applyProtection="1"/>
    <xf numFmtId="171" fontId="18" fillId="3" borderId="16" xfId="5" applyNumberFormat="1" applyFont="1" applyFill="1" applyBorder="1" applyProtection="1"/>
    <xf numFmtId="171" fontId="20" fillId="0" borderId="21" xfId="5" applyNumberFormat="1" applyFont="1" applyFill="1" applyBorder="1" applyProtection="1">
      <protection locked="0"/>
    </xf>
    <xf numFmtId="171" fontId="18" fillId="3" borderId="22" xfId="5" applyNumberFormat="1" applyFont="1" applyFill="1" applyBorder="1" applyProtection="1"/>
    <xf numFmtId="0" fontId="18" fillId="7" borderId="22" xfId="4" applyFont="1" applyFill="1" applyBorder="1" applyProtection="1"/>
    <xf numFmtId="0" fontId="18" fillId="7" borderId="74" xfId="4" applyFont="1" applyFill="1" applyBorder="1" applyProtection="1"/>
    <xf numFmtId="171" fontId="18" fillId="0" borderId="41" xfId="5" applyNumberFormat="1" applyFont="1" applyFill="1" applyBorder="1" applyProtection="1">
      <protection locked="0"/>
    </xf>
    <xf numFmtId="171" fontId="17" fillId="0" borderId="36" xfId="5" applyNumberFormat="1" applyFont="1" applyFill="1" applyBorder="1" applyProtection="1">
      <protection locked="0"/>
    </xf>
    <xf numFmtId="171" fontId="17" fillId="0" borderId="36" xfId="5" applyNumberFormat="1" applyFont="1" applyFill="1" applyBorder="1" applyProtection="1"/>
    <xf numFmtId="0" fontId="17" fillId="7" borderId="36" xfId="4" applyFont="1" applyFill="1" applyBorder="1" applyProtection="1"/>
    <xf numFmtId="0" fontId="17" fillId="7" borderId="72" xfId="4" applyFont="1" applyFill="1" applyBorder="1" applyAlignment="1" applyProtection="1">
      <alignment horizontal="right" vertical="top"/>
    </xf>
    <xf numFmtId="0" fontId="17" fillId="7" borderId="73" xfId="4" applyFont="1" applyFill="1" applyBorder="1" applyAlignment="1" applyProtection="1">
      <alignment horizontal="right" vertical="top"/>
    </xf>
    <xf numFmtId="0" fontId="17" fillId="0" borderId="0" xfId="4" applyFont="1" applyFill="1" applyAlignment="1" applyProtection="1">
      <alignment vertical="top" wrapText="1"/>
      <protection locked="0"/>
    </xf>
    <xf numFmtId="171" fontId="18" fillId="0" borderId="21" xfId="5" applyNumberFormat="1" applyFont="1" applyFill="1" applyBorder="1" applyAlignment="1" applyProtection="1">
      <alignment vertical="top" wrapText="1"/>
      <protection locked="0"/>
    </xf>
    <xf numFmtId="0" fontId="18" fillId="7" borderId="73" xfId="4" applyFont="1" applyFill="1" applyBorder="1" applyAlignment="1" applyProtection="1">
      <alignment horizontal="right" vertical="top"/>
    </xf>
    <xf numFmtId="0" fontId="17" fillId="0" borderId="0" xfId="4" applyFont="1" applyFill="1" applyAlignment="1" applyProtection="1">
      <alignment vertical="top"/>
      <protection locked="0"/>
    </xf>
    <xf numFmtId="171" fontId="17" fillId="0" borderId="21" xfId="5" applyNumberFormat="1" applyFont="1" applyFill="1" applyBorder="1" applyAlignment="1" applyProtection="1">
      <alignment vertical="top"/>
      <protection locked="0"/>
    </xf>
    <xf numFmtId="171" fontId="17" fillId="0" borderId="16" xfId="5" applyNumberFormat="1" applyFont="1" applyFill="1" applyBorder="1" applyAlignment="1" applyProtection="1">
      <alignment vertical="top"/>
      <protection locked="0"/>
    </xf>
    <xf numFmtId="171" fontId="17" fillId="0" borderId="16" xfId="5" applyNumberFormat="1" applyFont="1" applyFill="1" applyBorder="1" applyAlignment="1" applyProtection="1">
      <alignment vertical="top"/>
    </xf>
    <xf numFmtId="0" fontId="17" fillId="7" borderId="16" xfId="4" applyFont="1" applyFill="1" applyBorder="1" applyAlignment="1" applyProtection="1">
      <alignment vertical="top"/>
    </xf>
    <xf numFmtId="0" fontId="18" fillId="7" borderId="0" xfId="4" applyFont="1" applyFill="1" applyBorder="1" applyProtection="1"/>
    <xf numFmtId="0" fontId="17" fillId="7" borderId="0" xfId="4" applyFont="1" applyFill="1" applyBorder="1" applyProtection="1"/>
    <xf numFmtId="171" fontId="18" fillId="8" borderId="10" xfId="5" applyNumberFormat="1" applyFont="1" applyFill="1" applyBorder="1" applyProtection="1"/>
    <xf numFmtId="0" fontId="18" fillId="8" borderId="0" xfId="4" applyFont="1" applyFill="1" applyBorder="1" applyProtection="1"/>
    <xf numFmtId="0" fontId="17" fillId="8" borderId="0" xfId="4" applyFont="1" applyFill="1" applyBorder="1" applyProtection="1"/>
    <xf numFmtId="0" fontId="18" fillId="8" borderId="10" xfId="4" applyFont="1" applyFill="1" applyBorder="1" applyProtection="1"/>
    <xf numFmtId="0" fontId="17" fillId="8" borderId="10" xfId="4" applyFont="1" applyFill="1" applyBorder="1" applyProtection="1"/>
    <xf numFmtId="0" fontId="18" fillId="8" borderId="10" xfId="4" applyFont="1" applyFill="1" applyBorder="1" applyAlignment="1" applyProtection="1">
      <alignment horizontal="right"/>
    </xf>
    <xf numFmtId="171" fontId="17" fillId="0" borderId="41" xfId="5" applyNumberFormat="1" applyFont="1" applyBorder="1" applyProtection="1">
      <protection locked="0"/>
    </xf>
    <xf numFmtId="171" fontId="17" fillId="0" borderId="36" xfId="5" applyNumberFormat="1" applyFont="1" applyBorder="1" applyProtection="1">
      <protection locked="0"/>
    </xf>
    <xf numFmtId="171" fontId="17" fillId="0" borderId="41" xfId="5" applyNumberFormat="1" applyFont="1" applyBorder="1" applyProtection="1"/>
    <xf numFmtId="171" fontId="17" fillId="0" borderId="36" xfId="5" applyNumberFormat="1" applyFont="1" applyBorder="1" applyProtection="1"/>
    <xf numFmtId="0" fontId="17" fillId="8" borderId="36" xfId="4" applyFont="1" applyFill="1" applyBorder="1" applyAlignment="1" applyProtection="1">
      <alignment vertical="top" wrapText="1"/>
    </xf>
    <xf numFmtId="0" fontId="17" fillId="8" borderId="36" xfId="4" applyFont="1" applyFill="1" applyBorder="1" applyProtection="1"/>
    <xf numFmtId="0" fontId="17" fillId="8" borderId="72" xfId="4" applyFont="1" applyFill="1" applyBorder="1" applyAlignment="1" applyProtection="1">
      <alignment horizontal="right" vertical="top"/>
    </xf>
    <xf numFmtId="171" fontId="17" fillId="0" borderId="21" xfId="5" applyNumberFormat="1" applyFont="1" applyBorder="1" applyProtection="1">
      <protection locked="0"/>
    </xf>
    <xf numFmtId="171" fontId="17" fillId="0" borderId="16" xfId="5" applyNumberFormat="1" applyFont="1" applyBorder="1" applyProtection="1">
      <protection locked="0"/>
    </xf>
    <xf numFmtId="171" fontId="17" fillId="0" borderId="21" xfId="5" applyNumberFormat="1" applyFont="1" applyBorder="1" applyProtection="1"/>
    <xf numFmtId="171" fontId="17" fillId="0" borderId="16" xfId="5" applyNumberFormat="1" applyFont="1" applyBorder="1" applyProtection="1"/>
    <xf numFmtId="0" fontId="17" fillId="8" borderId="16" xfId="4" applyFont="1" applyFill="1" applyBorder="1" applyAlignment="1" applyProtection="1">
      <alignment vertical="top" wrapText="1"/>
    </xf>
    <xf numFmtId="0" fontId="17" fillId="8" borderId="16" xfId="4" applyFont="1" applyFill="1" applyBorder="1" applyProtection="1"/>
    <xf numFmtId="0" fontId="17" fillId="8" borderId="73" xfId="4" applyFont="1" applyFill="1" applyBorder="1" applyAlignment="1" applyProtection="1">
      <alignment horizontal="right" vertical="top" wrapText="1"/>
    </xf>
    <xf numFmtId="0" fontId="17" fillId="8" borderId="73" xfId="4" applyFont="1" applyFill="1" applyBorder="1" applyAlignment="1" applyProtection="1">
      <alignment horizontal="right"/>
    </xf>
    <xf numFmtId="171" fontId="17" fillId="0" borderId="21" xfId="5" applyNumberFormat="1" applyFont="1" applyFill="1" applyBorder="1" applyProtection="1"/>
    <xf numFmtId="0" fontId="19" fillId="8" borderId="16" xfId="4" applyFont="1" applyFill="1" applyBorder="1" applyProtection="1"/>
    <xf numFmtId="0" fontId="19" fillId="8" borderId="73" xfId="4" applyFont="1" applyFill="1" applyBorder="1" applyAlignment="1" applyProtection="1">
      <alignment horizontal="right"/>
    </xf>
    <xf numFmtId="171" fontId="17" fillId="0" borderId="41" xfId="5" applyNumberFormat="1" applyFont="1" applyFill="1" applyBorder="1" applyProtection="1">
      <protection locked="0"/>
    </xf>
    <xf numFmtId="171" fontId="17" fillId="0" borderId="41" xfId="5" applyNumberFormat="1" applyFont="1" applyFill="1" applyBorder="1" applyProtection="1"/>
    <xf numFmtId="0" fontId="17" fillId="8" borderId="72" xfId="4" applyFont="1" applyFill="1" applyBorder="1" applyAlignment="1" applyProtection="1">
      <alignment horizontal="right"/>
    </xf>
    <xf numFmtId="171" fontId="17" fillId="0" borderId="7" xfId="5" applyNumberFormat="1" applyFont="1" applyBorder="1" applyProtection="1"/>
    <xf numFmtId="171" fontId="17" fillId="0" borderId="7" xfId="5" applyNumberFormat="1" applyFont="1" applyFill="1" applyBorder="1" applyProtection="1"/>
    <xf numFmtId="171" fontId="18" fillId="9" borderId="0" xfId="5" applyNumberFormat="1" applyFont="1" applyFill="1" applyBorder="1" applyProtection="1"/>
    <xf numFmtId="0" fontId="18" fillId="9" borderId="0" xfId="4" applyFont="1" applyFill="1" applyBorder="1" applyProtection="1"/>
    <xf numFmtId="0" fontId="17" fillId="9" borderId="0" xfId="4" applyFont="1" applyFill="1" applyBorder="1" applyProtection="1"/>
    <xf numFmtId="171" fontId="18" fillId="9" borderId="10" xfId="5" applyNumberFormat="1" applyFont="1" applyFill="1" applyBorder="1" applyProtection="1"/>
    <xf numFmtId="0" fontId="18" fillId="9" borderId="10" xfId="4" applyFont="1" applyFill="1" applyBorder="1" applyProtection="1"/>
    <xf numFmtId="0" fontId="17" fillId="9" borderId="10" xfId="4" applyFont="1" applyFill="1" applyBorder="1" applyProtection="1"/>
    <xf numFmtId="1" fontId="18" fillId="9" borderId="10" xfId="4" applyNumberFormat="1" applyFont="1" applyFill="1" applyBorder="1" applyProtection="1"/>
    <xf numFmtId="0" fontId="19" fillId="0" borderId="0" xfId="4" applyFont="1" applyProtection="1">
      <protection locked="0"/>
    </xf>
    <xf numFmtId="0" fontId="19" fillId="9" borderId="36" xfId="4" applyFont="1" applyFill="1" applyBorder="1" applyProtection="1"/>
    <xf numFmtId="1" fontId="19" fillId="9" borderId="36" xfId="4" applyNumberFormat="1" applyFont="1" applyFill="1" applyBorder="1" applyProtection="1"/>
    <xf numFmtId="1" fontId="19" fillId="9" borderId="72" xfId="4" applyNumberFormat="1" applyFont="1" applyFill="1" applyBorder="1" applyAlignment="1" applyProtection="1">
      <alignment horizontal="right"/>
    </xf>
    <xf numFmtId="0" fontId="17" fillId="9" borderId="36" xfId="4" applyFont="1" applyFill="1" applyBorder="1" applyProtection="1"/>
    <xf numFmtId="1" fontId="17" fillId="9" borderId="73" xfId="4" applyNumberFormat="1" applyFont="1" applyFill="1" applyBorder="1" applyAlignment="1" applyProtection="1">
      <alignment vertical="top"/>
    </xf>
    <xf numFmtId="0" fontId="17" fillId="9" borderId="16" xfId="4" applyFont="1" applyFill="1" applyBorder="1" applyProtection="1"/>
    <xf numFmtId="1" fontId="19" fillId="9" borderId="16" xfId="4" applyNumberFormat="1" applyFont="1" applyFill="1" applyBorder="1" applyProtection="1"/>
    <xf numFmtId="1" fontId="17" fillId="9" borderId="16" xfId="4" applyNumberFormat="1" applyFont="1" applyFill="1" applyBorder="1" applyProtection="1"/>
    <xf numFmtId="0" fontId="17" fillId="0" borderId="0" xfId="4" applyFont="1" applyAlignment="1" applyProtection="1">
      <alignment vertical="top"/>
      <protection locked="0"/>
    </xf>
    <xf numFmtId="171" fontId="17" fillId="0" borderId="21" xfId="5" applyNumberFormat="1" applyFont="1" applyFill="1" applyBorder="1" applyAlignment="1" applyProtection="1">
      <alignment vertical="top"/>
    </xf>
    <xf numFmtId="0" fontId="17" fillId="9" borderId="16" xfId="4" applyFont="1" applyFill="1" applyBorder="1" applyAlignment="1" applyProtection="1">
      <alignment vertical="top" wrapText="1"/>
    </xf>
    <xf numFmtId="1" fontId="17" fillId="9" borderId="16" xfId="4" applyNumberFormat="1" applyFont="1" applyFill="1" applyBorder="1" applyAlignment="1" applyProtection="1">
      <alignment vertical="top"/>
    </xf>
    <xf numFmtId="1" fontId="17" fillId="9" borderId="73" xfId="4" applyNumberFormat="1" applyFont="1" applyFill="1" applyBorder="1" applyAlignment="1" applyProtection="1">
      <alignment horizontal="right" vertical="top"/>
    </xf>
    <xf numFmtId="1" fontId="17" fillId="9" borderId="73" xfId="4" applyNumberFormat="1" applyFont="1" applyFill="1" applyBorder="1" applyAlignment="1" applyProtection="1">
      <alignment horizontal="right"/>
    </xf>
    <xf numFmtId="1" fontId="17" fillId="9" borderId="16" xfId="4" applyNumberFormat="1" applyFont="1" applyFill="1" applyBorder="1" applyAlignment="1" applyProtection="1">
      <alignment horizontal="right"/>
    </xf>
    <xf numFmtId="171" fontId="17" fillId="0" borderId="21" xfId="5" applyNumberFormat="1" applyFont="1" applyFill="1" applyBorder="1" applyAlignment="1" applyProtection="1">
      <alignment horizontal="right" vertical="top"/>
      <protection locked="0"/>
    </xf>
    <xf numFmtId="171" fontId="17" fillId="0" borderId="16" xfId="5" applyNumberFormat="1" applyFont="1" applyFill="1" applyBorder="1" applyAlignment="1" applyProtection="1">
      <alignment horizontal="right" vertical="top"/>
      <protection locked="0"/>
    </xf>
    <xf numFmtId="171" fontId="17" fillId="0" borderId="21" xfId="5" applyNumberFormat="1" applyFont="1" applyFill="1" applyBorder="1" applyAlignment="1" applyProtection="1">
      <alignment horizontal="right" vertical="top"/>
    </xf>
    <xf numFmtId="171" fontId="17" fillId="0" borderId="16" xfId="5" applyNumberFormat="1" applyFont="1" applyFill="1" applyBorder="1" applyAlignment="1" applyProtection="1">
      <alignment horizontal="right" vertical="top"/>
    </xf>
    <xf numFmtId="1" fontId="17" fillId="9" borderId="16" xfId="4" applyNumberFormat="1" applyFont="1" applyFill="1" applyBorder="1" applyAlignment="1" applyProtection="1">
      <alignment horizontal="right" vertical="top" wrapText="1"/>
    </xf>
    <xf numFmtId="1" fontId="17" fillId="9" borderId="73" xfId="4" applyNumberFormat="1" applyFont="1" applyFill="1" applyBorder="1" applyAlignment="1" applyProtection="1">
      <alignment horizontal="right" vertical="top" wrapText="1"/>
    </xf>
    <xf numFmtId="0" fontId="17" fillId="9" borderId="16" xfId="4" applyFont="1" applyFill="1" applyBorder="1" applyAlignment="1" applyProtection="1">
      <alignment vertical="center" wrapText="1"/>
    </xf>
    <xf numFmtId="1" fontId="17" fillId="9" borderId="16" xfId="4" applyNumberFormat="1" applyFont="1" applyFill="1" applyBorder="1" applyAlignment="1" applyProtection="1">
      <alignment horizontal="right" vertical="center" wrapText="1"/>
    </xf>
    <xf numFmtId="1" fontId="17" fillId="9" borderId="73" xfId="4" applyNumberFormat="1" applyFont="1" applyFill="1" applyBorder="1" applyAlignment="1" applyProtection="1">
      <alignment horizontal="right" vertical="center" wrapText="1"/>
    </xf>
    <xf numFmtId="171" fontId="17" fillId="0" borderId="16" xfId="5" applyNumberFormat="1" applyFont="1" applyBorder="1" applyAlignment="1" applyProtection="1">
      <alignment vertical="top"/>
      <protection locked="0"/>
    </xf>
    <xf numFmtId="171" fontId="17" fillId="0" borderId="16" xfId="5" applyNumberFormat="1" applyFont="1" applyBorder="1" applyAlignment="1" applyProtection="1">
      <alignment vertical="top"/>
    </xf>
    <xf numFmtId="171" fontId="17" fillId="0" borderId="20" xfId="5" applyNumberFormat="1" applyFont="1" applyBorder="1" applyProtection="1">
      <protection locked="0"/>
    </xf>
    <xf numFmtId="171" fontId="17" fillId="0" borderId="20" xfId="5" applyNumberFormat="1" applyFont="1" applyBorder="1" applyProtection="1"/>
    <xf numFmtId="0" fontId="17" fillId="9" borderId="22" xfId="4" applyFont="1" applyFill="1" applyBorder="1" applyProtection="1"/>
    <xf numFmtId="1" fontId="17" fillId="9" borderId="22" xfId="4" applyNumberFormat="1" applyFont="1" applyFill="1" applyBorder="1" applyAlignment="1" applyProtection="1">
      <alignment vertical="center"/>
    </xf>
    <xf numFmtId="1" fontId="17" fillId="9" borderId="74" xfId="4" applyNumberFormat="1" applyFont="1" applyFill="1" applyBorder="1" applyAlignment="1" applyProtection="1">
      <alignment vertical="center"/>
    </xf>
    <xf numFmtId="1" fontId="17" fillId="9" borderId="10" xfId="4" applyNumberFormat="1" applyFont="1" applyFill="1" applyBorder="1" applyProtection="1"/>
    <xf numFmtId="171" fontId="19" fillId="0" borderId="41" xfId="5" applyNumberFormat="1" applyFont="1" applyFill="1" applyBorder="1" applyProtection="1"/>
    <xf numFmtId="171" fontId="19" fillId="0" borderId="36" xfId="5" applyNumberFormat="1" applyFont="1" applyBorder="1" applyProtection="1">
      <protection locked="0"/>
    </xf>
    <xf numFmtId="171" fontId="19" fillId="0" borderId="36" xfId="5" applyNumberFormat="1" applyFont="1" applyBorder="1" applyProtection="1"/>
    <xf numFmtId="0" fontId="19" fillId="9" borderId="72" xfId="4" applyFont="1" applyFill="1" applyBorder="1" applyAlignment="1" applyProtection="1">
      <alignment horizontal="right"/>
    </xf>
    <xf numFmtId="1" fontId="17" fillId="9" borderId="73" xfId="4" applyNumberFormat="1" applyFont="1" applyFill="1" applyBorder="1" applyProtection="1"/>
    <xf numFmtId="0" fontId="18" fillId="0" borderId="0" xfId="4" applyFont="1" applyProtection="1"/>
    <xf numFmtId="1" fontId="17" fillId="9" borderId="36" xfId="4" applyNumberFormat="1" applyFont="1" applyFill="1" applyBorder="1" applyProtection="1"/>
    <xf numFmtId="1" fontId="17" fillId="9" borderId="72" xfId="4" applyNumberFormat="1" applyFont="1" applyFill="1" applyBorder="1" applyProtection="1"/>
    <xf numFmtId="171" fontId="19" fillId="0" borderId="21" xfId="5" applyNumberFormat="1" applyFont="1" applyFill="1" applyBorder="1" applyProtection="1"/>
    <xf numFmtId="171" fontId="19" fillId="0" borderId="16" xfId="5" applyNumberFormat="1" applyFont="1" applyBorder="1" applyProtection="1"/>
    <xf numFmtId="0" fontId="19" fillId="9" borderId="16" xfId="4" applyFont="1" applyFill="1" applyBorder="1" applyProtection="1"/>
    <xf numFmtId="1" fontId="19" fillId="9" borderId="73" xfId="4" applyNumberFormat="1" applyFont="1" applyFill="1" applyBorder="1" applyAlignment="1" applyProtection="1">
      <alignment horizontal="right"/>
    </xf>
    <xf numFmtId="0" fontId="17" fillId="0" borderId="0" xfId="4" applyFont="1" applyAlignment="1" applyProtection="1">
      <alignment vertical="center"/>
      <protection locked="0"/>
    </xf>
    <xf numFmtId="171" fontId="17" fillId="0" borderId="21" xfId="5" applyNumberFormat="1" applyFont="1" applyFill="1" applyBorder="1" applyAlignment="1" applyProtection="1">
      <alignment vertical="center"/>
      <protection locked="0"/>
    </xf>
    <xf numFmtId="171" fontId="17" fillId="0" borderId="16" xfId="5" applyNumberFormat="1" applyFont="1" applyFill="1" applyBorder="1" applyAlignment="1" applyProtection="1">
      <alignment vertical="center"/>
      <protection locked="0"/>
    </xf>
    <xf numFmtId="171" fontId="17" fillId="0" borderId="21" xfId="5" applyNumberFormat="1" applyFont="1" applyFill="1" applyBorder="1" applyAlignment="1" applyProtection="1">
      <alignment vertical="center"/>
    </xf>
    <xf numFmtId="171" fontId="17" fillId="0" borderId="16" xfId="5" applyNumberFormat="1" applyFont="1" applyFill="1" applyBorder="1" applyAlignment="1" applyProtection="1">
      <alignment vertical="center"/>
    </xf>
    <xf numFmtId="1" fontId="17" fillId="9" borderId="16" xfId="4" applyNumberFormat="1" applyFont="1" applyFill="1" applyBorder="1" applyAlignment="1" applyProtection="1">
      <alignment vertical="center"/>
    </xf>
    <xf numFmtId="1" fontId="17" fillId="9" borderId="73" xfId="4" applyNumberFormat="1" applyFont="1" applyFill="1" applyBorder="1" applyAlignment="1" applyProtection="1">
      <alignment vertical="center"/>
    </xf>
    <xf numFmtId="0" fontId="18" fillId="0" borderId="0" xfId="4" applyFont="1" applyProtection="1">
      <protection locked="0"/>
    </xf>
    <xf numFmtId="0" fontId="18" fillId="0" borderId="0" xfId="4" applyFont="1" applyAlignment="1" applyProtection="1">
      <alignment vertical="center"/>
      <protection locked="0"/>
    </xf>
    <xf numFmtId="171" fontId="19" fillId="0" borderId="16" xfId="5" applyNumberFormat="1" applyFont="1" applyFill="1" applyBorder="1" applyAlignment="1" applyProtection="1">
      <alignment vertical="center"/>
      <protection locked="0"/>
    </xf>
    <xf numFmtId="171" fontId="19" fillId="0" borderId="16" xfId="5" applyNumberFormat="1" applyFont="1" applyBorder="1" applyProtection="1">
      <protection locked="0"/>
    </xf>
    <xf numFmtId="171" fontId="19" fillId="0" borderId="16" xfId="5" applyNumberFormat="1" applyFont="1" applyFill="1" applyBorder="1" applyAlignment="1" applyProtection="1">
      <alignment vertical="center"/>
    </xf>
    <xf numFmtId="0" fontId="19" fillId="0" borderId="0" xfId="4" applyFont="1" applyAlignment="1" applyProtection="1">
      <alignment vertical="top" wrapText="1"/>
      <protection locked="0"/>
    </xf>
    <xf numFmtId="171" fontId="19" fillId="0" borderId="16" xfId="5" applyNumberFormat="1" applyFont="1" applyFill="1" applyBorder="1" applyAlignment="1" applyProtection="1">
      <alignment horizontal="right" vertical="top" wrapText="1"/>
      <protection locked="0"/>
    </xf>
    <xf numFmtId="171" fontId="19" fillId="0" borderId="21" xfId="5" applyNumberFormat="1" applyFont="1" applyBorder="1" applyAlignment="1" applyProtection="1">
      <alignment horizontal="right" vertical="top" wrapText="1"/>
      <protection locked="0"/>
    </xf>
    <xf numFmtId="171" fontId="19" fillId="0" borderId="16" xfId="5" applyNumberFormat="1" applyFont="1" applyBorder="1" applyAlignment="1" applyProtection="1">
      <alignment horizontal="right" vertical="top" wrapText="1"/>
      <protection locked="0"/>
    </xf>
    <xf numFmtId="171" fontId="19" fillId="0" borderId="16" xfId="5" applyNumberFormat="1" applyFont="1" applyFill="1" applyBorder="1" applyAlignment="1" applyProtection="1">
      <alignment horizontal="right" vertical="top" wrapText="1"/>
    </xf>
    <xf numFmtId="171" fontId="19" fillId="0" borderId="16" xfId="5" applyNumberFormat="1" applyFont="1" applyFill="1" applyBorder="1" applyAlignment="1" applyProtection="1">
      <alignment vertical="top" wrapText="1"/>
    </xf>
    <xf numFmtId="0" fontId="19" fillId="9" borderId="16" xfId="4" applyFont="1" applyFill="1" applyBorder="1" applyAlignment="1" applyProtection="1">
      <alignment vertical="top" wrapText="1"/>
    </xf>
    <xf numFmtId="1" fontId="19" fillId="9" borderId="16" xfId="4" applyNumberFormat="1" applyFont="1" applyFill="1" applyBorder="1" applyAlignment="1" applyProtection="1">
      <alignment horizontal="right" vertical="top" wrapText="1"/>
    </xf>
    <xf numFmtId="1" fontId="19" fillId="9" borderId="73" xfId="4" applyNumberFormat="1" applyFont="1" applyFill="1" applyBorder="1" applyAlignment="1" applyProtection="1">
      <alignment horizontal="right" vertical="top" wrapText="1"/>
    </xf>
    <xf numFmtId="171" fontId="17" fillId="0" borderId="16" xfId="5" applyNumberFormat="1" applyFont="1" applyFill="1" applyBorder="1" applyAlignment="1" applyProtection="1">
      <alignment horizontal="right" vertical="top" wrapText="1"/>
      <protection locked="0"/>
    </xf>
    <xf numFmtId="171" fontId="17" fillId="0" borderId="16" xfId="5" applyNumberFormat="1" applyFont="1" applyFill="1" applyBorder="1" applyAlignment="1" applyProtection="1">
      <alignment horizontal="right" vertical="top" wrapText="1"/>
    </xf>
    <xf numFmtId="1" fontId="19" fillId="9" borderId="73" xfId="4" applyNumberFormat="1" applyFont="1" applyFill="1" applyBorder="1" applyAlignment="1" applyProtection="1">
      <alignment horizontal="right" vertical="center"/>
    </xf>
    <xf numFmtId="171" fontId="17" fillId="0" borderId="34" xfId="5" applyNumberFormat="1" applyFont="1" applyBorder="1" applyProtection="1">
      <protection locked="0"/>
    </xf>
    <xf numFmtId="0" fontId="17" fillId="9" borderId="20" xfId="4" applyFont="1" applyFill="1" applyBorder="1" applyProtection="1"/>
    <xf numFmtId="1" fontId="17" fillId="9" borderId="20" xfId="4" applyNumberFormat="1" applyFont="1" applyFill="1" applyBorder="1" applyProtection="1"/>
    <xf numFmtId="1" fontId="17" fillId="9" borderId="75" xfId="4" applyNumberFormat="1" applyFont="1" applyFill="1" applyBorder="1" applyProtection="1"/>
    <xf numFmtId="0" fontId="18" fillId="10" borderId="0" xfId="4" applyFont="1" applyFill="1" applyAlignment="1" applyProtection="1">
      <alignment horizontal="center"/>
    </xf>
    <xf numFmtId="0" fontId="18" fillId="0" borderId="0" xfId="4" applyFont="1" applyAlignment="1" applyProtection="1">
      <alignment horizontal="center" vertical="center"/>
    </xf>
    <xf numFmtId="0" fontId="18" fillId="11" borderId="8" xfId="4" applyFont="1" applyFill="1" applyBorder="1" applyAlignment="1" applyProtection="1">
      <alignment horizontal="center" vertical="center"/>
    </xf>
    <xf numFmtId="0" fontId="18" fillId="4" borderId="8" xfId="4" applyFont="1" applyFill="1" applyBorder="1" applyAlignment="1" applyProtection="1">
      <alignment horizontal="center" vertical="center"/>
    </xf>
    <xf numFmtId="0" fontId="18" fillId="4" borderId="8" xfId="4" applyFont="1" applyFill="1" applyBorder="1" applyAlignment="1" applyProtection="1">
      <alignment horizontal="right" vertical="center"/>
    </xf>
    <xf numFmtId="0" fontId="18" fillId="4" borderId="7" xfId="4" applyFont="1" applyFill="1" applyBorder="1" applyAlignment="1" applyProtection="1">
      <alignment horizontal="center" vertical="center"/>
    </xf>
    <xf numFmtId="0" fontId="18" fillId="4" borderId="6" xfId="4" applyFont="1" applyFill="1" applyBorder="1" applyAlignment="1" applyProtection="1">
      <alignment horizontal="center" vertical="center"/>
    </xf>
    <xf numFmtId="0" fontId="18" fillId="0" borderId="0" xfId="4" applyFont="1" applyAlignment="1" applyProtection="1">
      <alignment horizontal="centerContinuous" vertical="center"/>
    </xf>
    <xf numFmtId="0" fontId="18" fillId="0" borderId="0" xfId="4" applyFont="1" applyAlignment="1" applyProtection="1">
      <alignment vertical="center"/>
    </xf>
    <xf numFmtId="0" fontId="18" fillId="11" borderId="11" xfId="4" applyFont="1" applyFill="1" applyBorder="1" applyAlignment="1" applyProtection="1">
      <alignment horizontal="center" vertical="center"/>
    </xf>
    <xf numFmtId="0" fontId="18" fillId="4" borderId="11" xfId="4" applyFont="1" applyFill="1" applyBorder="1" applyAlignment="1" applyProtection="1">
      <alignment horizontal="centerContinuous" vertical="center"/>
    </xf>
    <xf numFmtId="0" fontId="22" fillId="4" borderId="2" xfId="4" applyFont="1" applyFill="1" applyBorder="1" applyAlignment="1" applyProtection="1">
      <alignment horizontal="left"/>
    </xf>
    <xf numFmtId="0" fontId="22" fillId="4" borderId="1" xfId="4" applyFont="1" applyFill="1" applyBorder="1" applyAlignment="1" applyProtection="1">
      <alignment horizontal="centerContinuous"/>
    </xf>
    <xf numFmtId="0" fontId="17" fillId="0" borderId="0" xfId="42" applyFont="1" applyProtection="1"/>
    <xf numFmtId="0" fontId="17" fillId="4" borderId="86" xfId="42" applyFont="1" applyFill="1" applyBorder="1" applyProtection="1"/>
    <xf numFmtId="0" fontId="17" fillId="4" borderId="0" xfId="42" applyFont="1" applyFill="1" applyProtection="1"/>
    <xf numFmtId="0" fontId="17" fillId="4" borderId="0" xfId="42" applyFont="1" applyFill="1" applyAlignment="1" applyProtection="1">
      <alignment horizontal="right"/>
    </xf>
    <xf numFmtId="0" fontId="18" fillId="4" borderId="0" xfId="42" applyFont="1" applyFill="1" applyAlignment="1" applyProtection="1">
      <alignment horizontal="right" wrapText="1"/>
    </xf>
    <xf numFmtId="171" fontId="17" fillId="5" borderId="0" xfId="42" applyNumberFormat="1" applyFont="1" applyFill="1" applyBorder="1" applyProtection="1"/>
    <xf numFmtId="0" fontId="17" fillId="5" borderId="86" xfId="42" applyFont="1" applyFill="1" applyBorder="1" applyProtection="1"/>
    <xf numFmtId="0" fontId="17" fillId="5" borderId="0" xfId="42" applyFont="1" applyFill="1" applyBorder="1" applyProtection="1"/>
    <xf numFmtId="0" fontId="17" fillId="5" borderId="0" xfId="42" applyFont="1" applyFill="1" applyBorder="1" applyAlignment="1" applyProtection="1">
      <alignment horizontal="right"/>
    </xf>
    <xf numFmtId="0" fontId="18" fillId="5" borderId="0" xfId="42" applyFont="1" applyFill="1" applyBorder="1" applyAlignment="1" applyProtection="1">
      <alignment horizontal="right"/>
    </xf>
    <xf numFmtId="0" fontId="17" fillId="0" borderId="0" xfId="42" applyFont="1" applyProtection="1">
      <protection locked="0"/>
    </xf>
    <xf numFmtId="171" fontId="17" fillId="0" borderId="0" xfId="43" applyNumberFormat="1" applyFont="1" applyFill="1" applyBorder="1" applyProtection="1">
      <protection locked="0"/>
    </xf>
    <xf numFmtId="0" fontId="18" fillId="5" borderId="86" xfId="42" applyFont="1" applyFill="1" applyBorder="1" applyProtection="1"/>
    <xf numFmtId="0" fontId="17" fillId="0" borderId="86" xfId="42" applyFont="1" applyBorder="1" applyProtection="1"/>
    <xf numFmtId="0" fontId="17" fillId="6" borderId="87" xfId="42" applyFont="1" applyFill="1" applyBorder="1" applyProtection="1"/>
    <xf numFmtId="0" fontId="17" fillId="6" borderId="10" xfId="42" applyFont="1" applyFill="1" applyBorder="1" applyProtection="1"/>
    <xf numFmtId="0" fontId="17" fillId="6" borderId="10" xfId="42" applyFont="1" applyFill="1" applyBorder="1" applyAlignment="1" applyProtection="1">
      <alignment horizontal="right"/>
    </xf>
    <xf numFmtId="0" fontId="17" fillId="6" borderId="86" xfId="42" applyFont="1" applyFill="1" applyBorder="1" applyProtection="1"/>
    <xf numFmtId="0" fontId="17" fillId="6" borderId="0" xfId="42" applyFont="1" applyFill="1" applyBorder="1" applyProtection="1"/>
    <xf numFmtId="0" fontId="17" fillId="6" borderId="0" xfId="42" applyFont="1" applyFill="1" applyBorder="1" applyAlignment="1" applyProtection="1">
      <alignment horizontal="right"/>
    </xf>
    <xf numFmtId="0" fontId="17" fillId="6" borderId="88" xfId="42" applyFont="1" applyFill="1" applyBorder="1" applyProtection="1"/>
    <xf numFmtId="0" fontId="17" fillId="6" borderId="7" xfId="42" applyFont="1" applyFill="1" applyBorder="1" applyProtection="1"/>
    <xf numFmtId="0" fontId="17" fillId="6" borderId="7" xfId="42" applyFont="1" applyFill="1" applyBorder="1" applyAlignment="1" applyProtection="1">
      <alignment horizontal="right"/>
    </xf>
    <xf numFmtId="0" fontId="17" fillId="6" borderId="53" xfId="42" applyFont="1" applyFill="1" applyBorder="1" applyProtection="1"/>
    <xf numFmtId="0" fontId="17" fillId="6" borderId="2" xfId="42" applyFont="1" applyFill="1" applyBorder="1" applyProtection="1"/>
    <xf numFmtId="0" fontId="17" fillId="6" borderId="88" xfId="42" applyFont="1" applyFill="1" applyBorder="1" applyAlignment="1" applyProtection="1">
      <alignment vertical="top"/>
    </xf>
    <xf numFmtId="0" fontId="17" fillId="6" borderId="7" xfId="42" applyFont="1" applyFill="1" applyBorder="1" applyAlignment="1" applyProtection="1">
      <alignment vertical="top"/>
    </xf>
    <xf numFmtId="0" fontId="17" fillId="6" borderId="7" xfId="42" applyFont="1" applyFill="1" applyBorder="1" applyAlignment="1" applyProtection="1">
      <alignment horizontal="right" vertical="top" wrapText="1"/>
    </xf>
    <xf numFmtId="0" fontId="17" fillId="6" borderId="2" xfId="42" applyFont="1" applyFill="1" applyBorder="1" applyAlignment="1" applyProtection="1">
      <alignment horizontal="right"/>
    </xf>
    <xf numFmtId="0" fontId="17" fillId="6" borderId="88" xfId="42" applyFont="1" applyFill="1" applyBorder="1" applyAlignment="1" applyProtection="1">
      <alignment vertical="top" wrapText="1"/>
    </xf>
    <xf numFmtId="0" fontId="17" fillId="6" borderId="7" xfId="42" applyFont="1" applyFill="1" applyBorder="1" applyAlignment="1" applyProtection="1">
      <alignment vertical="top" wrapText="1"/>
    </xf>
    <xf numFmtId="0" fontId="17" fillId="6" borderId="53" xfId="42" applyFont="1" applyFill="1" applyBorder="1" applyAlignment="1" applyProtection="1">
      <alignment vertical="top" wrapText="1"/>
    </xf>
    <xf numFmtId="0" fontId="17" fillId="6" borderId="2" xfId="42" applyFont="1" applyFill="1" applyBorder="1" applyAlignment="1" applyProtection="1">
      <alignment vertical="top" wrapText="1"/>
    </xf>
    <xf numFmtId="0" fontId="17" fillId="6" borderId="2" xfId="42" applyFont="1" applyFill="1" applyBorder="1" applyAlignment="1" applyProtection="1">
      <alignment horizontal="right" vertical="top" wrapText="1"/>
    </xf>
    <xf numFmtId="0" fontId="17" fillId="0" borderId="0" xfId="42" applyFont="1" applyAlignment="1" applyProtection="1">
      <alignment vertical="top"/>
    </xf>
    <xf numFmtId="172" fontId="17" fillId="6" borderId="0" xfId="6" applyNumberFormat="1" applyFont="1" applyFill="1" applyBorder="1" applyAlignment="1" applyProtection="1">
      <alignment vertical="top"/>
    </xf>
    <xf numFmtId="0" fontId="17" fillId="6" borderId="86" xfId="42" applyFont="1" applyFill="1" applyBorder="1" applyAlignment="1" applyProtection="1">
      <alignment vertical="top" wrapText="1"/>
    </xf>
    <xf numFmtId="0" fontId="17" fillId="6" borderId="0" xfId="42" applyFont="1" applyFill="1" applyBorder="1" applyAlignment="1" applyProtection="1">
      <alignment vertical="top" wrapText="1"/>
    </xf>
    <xf numFmtId="0" fontId="17" fillId="6" borderId="0" xfId="42" applyFont="1" applyFill="1" applyBorder="1" applyAlignment="1" applyProtection="1">
      <alignment horizontal="right" vertical="top" wrapText="1"/>
    </xf>
    <xf numFmtId="0" fontId="17" fillId="6" borderId="0" xfId="42" applyFont="1" applyFill="1" applyProtection="1"/>
    <xf numFmtId="0" fontId="17" fillId="6" borderId="86" xfId="42" applyFont="1" applyFill="1" applyBorder="1" applyAlignment="1" applyProtection="1">
      <alignment horizontal="right"/>
    </xf>
    <xf numFmtId="0" fontId="18" fillId="6" borderId="0" xfId="42" applyFont="1" applyFill="1" applyAlignment="1" applyProtection="1">
      <alignment horizontal="right"/>
    </xf>
    <xf numFmtId="0" fontId="17" fillId="0" borderId="0" xfId="42" applyFont="1" applyFill="1" applyProtection="1"/>
    <xf numFmtId="0" fontId="18" fillId="7" borderId="87" xfId="42" applyFont="1" applyFill="1" applyBorder="1" applyProtection="1"/>
    <xf numFmtId="0" fontId="17" fillId="7" borderId="10" xfId="42" applyFont="1" applyFill="1" applyBorder="1" applyProtection="1"/>
    <xf numFmtId="0" fontId="18" fillId="7" borderId="10" xfId="42" applyFont="1" applyFill="1" applyBorder="1" applyProtection="1"/>
    <xf numFmtId="0" fontId="17" fillId="0" borderId="0" xfId="42" applyFont="1" applyFill="1" applyProtection="1">
      <protection locked="0"/>
    </xf>
    <xf numFmtId="0" fontId="19" fillId="7" borderId="36" xfId="42" applyFont="1" applyFill="1" applyBorder="1" applyProtection="1"/>
    <xf numFmtId="0" fontId="19" fillId="7" borderId="72" xfId="42" applyFont="1" applyFill="1" applyBorder="1" applyAlignment="1" applyProtection="1">
      <alignment horizontal="right"/>
    </xf>
    <xf numFmtId="0" fontId="18" fillId="7" borderId="16" xfId="42" applyFont="1" applyFill="1" applyBorder="1" applyProtection="1"/>
    <xf numFmtId="0" fontId="18" fillId="7" borderId="73" xfId="42" applyFont="1" applyFill="1" applyBorder="1" applyAlignment="1" applyProtection="1">
      <alignment horizontal="right"/>
    </xf>
    <xf numFmtId="0" fontId="19" fillId="0" borderId="0" xfId="42" applyFont="1" applyFill="1" applyAlignment="1" applyProtection="1">
      <alignment vertical="top" wrapText="1"/>
      <protection locked="0"/>
    </xf>
    <xf numFmtId="171" fontId="19" fillId="0" borderId="16" xfId="5" applyNumberFormat="1" applyFont="1" applyFill="1" applyBorder="1" applyAlignment="1" applyProtection="1">
      <alignment vertical="top"/>
      <protection locked="0"/>
    </xf>
    <xf numFmtId="0" fontId="17" fillId="7" borderId="16" xfId="42" applyFont="1" applyFill="1" applyBorder="1" applyAlignment="1" applyProtection="1">
      <alignment vertical="top" wrapText="1"/>
    </xf>
    <xf numFmtId="0" fontId="17" fillId="7" borderId="73" xfId="42" applyFont="1" applyFill="1" applyBorder="1" applyAlignment="1" applyProtection="1">
      <alignment horizontal="right" vertical="top" wrapText="1"/>
    </xf>
    <xf numFmtId="0" fontId="19" fillId="0" borderId="0" xfId="42" applyFont="1" applyFill="1" applyProtection="1">
      <protection locked="0"/>
    </xf>
    <xf numFmtId="0" fontId="17" fillId="7" borderId="16" xfId="42" applyFont="1" applyFill="1" applyBorder="1" applyProtection="1"/>
    <xf numFmtId="0" fontId="17" fillId="7" borderId="73" xfId="42" applyFont="1" applyFill="1" applyBorder="1" applyAlignment="1" applyProtection="1">
      <alignment horizontal="right"/>
    </xf>
    <xf numFmtId="0" fontId="19" fillId="7" borderId="16" xfId="42" applyFont="1" applyFill="1" applyBorder="1" applyProtection="1"/>
    <xf numFmtId="0" fontId="19" fillId="7" borderId="73" xfId="42" applyFont="1" applyFill="1" applyBorder="1" applyAlignment="1" applyProtection="1">
      <alignment horizontal="right"/>
    </xf>
    <xf numFmtId="171" fontId="18" fillId="3" borderId="39" xfId="5" applyNumberFormat="1" applyFont="1" applyFill="1" applyBorder="1" applyProtection="1"/>
    <xf numFmtId="0" fontId="18" fillId="7" borderId="22" xfId="42" applyFont="1" applyFill="1" applyBorder="1" applyProtection="1"/>
    <xf numFmtId="0" fontId="18" fillId="7" borderId="74" xfId="42" applyFont="1" applyFill="1" applyBorder="1" applyProtection="1"/>
    <xf numFmtId="0" fontId="18" fillId="0" borderId="0" xfId="42" applyFont="1" applyFill="1" applyBorder="1" applyProtection="1"/>
    <xf numFmtId="0" fontId="17" fillId="0" borderId="0" xfId="42" applyFont="1" applyFill="1" applyBorder="1" applyProtection="1"/>
    <xf numFmtId="0" fontId="17" fillId="7" borderId="36" xfId="42" applyFont="1" applyFill="1" applyBorder="1" applyProtection="1"/>
    <xf numFmtId="0" fontId="17" fillId="7" borderId="72" xfId="42" applyFont="1" applyFill="1" applyBorder="1" applyAlignment="1" applyProtection="1">
      <alignment horizontal="right" vertical="top"/>
    </xf>
    <xf numFmtId="0" fontId="17" fillId="7" borderId="73" xfId="42" applyFont="1" applyFill="1" applyBorder="1" applyAlignment="1" applyProtection="1">
      <alignment horizontal="right" vertical="top"/>
    </xf>
    <xf numFmtId="0" fontId="17" fillId="0" borderId="0" xfId="42" applyFont="1" applyFill="1" applyAlignment="1" applyProtection="1">
      <alignment vertical="top" wrapText="1"/>
      <protection locked="0"/>
    </xf>
    <xf numFmtId="0" fontId="18" fillId="7" borderId="73" xfId="42" applyFont="1" applyFill="1" applyBorder="1" applyAlignment="1" applyProtection="1">
      <alignment horizontal="right" vertical="top"/>
    </xf>
    <xf numFmtId="171" fontId="19" fillId="0" borderId="16" xfId="5" applyNumberFormat="1" applyFont="1" applyFill="1" applyBorder="1" applyAlignment="1" applyProtection="1">
      <alignment vertical="top" wrapText="1"/>
      <protection locked="0"/>
    </xf>
    <xf numFmtId="171" fontId="19" fillId="0" borderId="21" xfId="5" applyNumberFormat="1" applyFont="1" applyFill="1" applyBorder="1" applyAlignment="1" applyProtection="1">
      <alignment vertical="top" wrapText="1"/>
      <protection locked="0"/>
    </xf>
    <xf numFmtId="0" fontId="19" fillId="7" borderId="16" xfId="42" applyFont="1" applyFill="1" applyBorder="1" applyAlignment="1" applyProtection="1">
      <alignment vertical="top" wrapText="1"/>
    </xf>
    <xf numFmtId="0" fontId="19" fillId="7" borderId="73" xfId="42" applyFont="1" applyFill="1" applyBorder="1" applyAlignment="1" applyProtection="1">
      <alignment horizontal="right" vertical="top" wrapText="1"/>
    </xf>
    <xf numFmtId="0" fontId="19" fillId="7" borderId="73" xfId="42" applyFont="1" applyFill="1" applyBorder="1" applyAlignment="1" applyProtection="1">
      <alignment horizontal="right" vertical="top"/>
    </xf>
    <xf numFmtId="3" fontId="2" fillId="0" borderId="89" xfId="43" applyNumberFormat="1" applyBorder="1" applyProtection="1">
      <protection locked="0"/>
    </xf>
    <xf numFmtId="0" fontId="17" fillId="0" borderId="0" xfId="42" applyFont="1" applyFill="1" applyAlignment="1" applyProtection="1">
      <alignment vertical="top"/>
      <protection locked="0"/>
    </xf>
    <xf numFmtId="3" fontId="2" fillId="0" borderId="71" xfId="43" applyNumberFormat="1" applyBorder="1" applyProtection="1">
      <protection locked="0"/>
    </xf>
    <xf numFmtId="171" fontId="19" fillId="0" borderId="21" xfId="5" applyNumberFormat="1" applyFont="1" applyFill="1" applyBorder="1" applyAlignment="1" applyProtection="1">
      <alignment vertical="top"/>
      <protection locked="0"/>
    </xf>
    <xf numFmtId="0" fontId="19" fillId="7" borderId="16" xfId="42" applyFont="1" applyFill="1" applyBorder="1" applyAlignment="1" applyProtection="1">
      <alignment vertical="top"/>
    </xf>
    <xf numFmtId="0" fontId="18" fillId="7" borderId="0" xfId="42" applyFont="1" applyFill="1" applyBorder="1" applyProtection="1"/>
    <xf numFmtId="0" fontId="17" fillId="7" borderId="0" xfId="42" applyFont="1" applyFill="1" applyBorder="1" applyProtection="1"/>
    <xf numFmtId="171" fontId="18" fillId="8" borderId="0" xfId="5" applyNumberFormat="1" applyFont="1" applyFill="1" applyBorder="1" applyProtection="1"/>
    <xf numFmtId="0" fontId="18" fillId="8" borderId="0" xfId="42" applyFont="1" applyFill="1" applyBorder="1" applyProtection="1"/>
    <xf numFmtId="0" fontId="17" fillId="8" borderId="0" xfId="42" applyFont="1" applyFill="1" applyBorder="1" applyProtection="1"/>
    <xf numFmtId="0" fontId="18" fillId="8" borderId="10" xfId="42" applyFont="1" applyFill="1" applyBorder="1" applyProtection="1"/>
    <xf numFmtId="0" fontId="17" fillId="8" borderId="10" xfId="42" applyFont="1" applyFill="1" applyBorder="1" applyProtection="1"/>
    <xf numFmtId="0" fontId="18" fillId="8" borderId="10" xfId="42" applyFont="1" applyFill="1" applyBorder="1" applyAlignment="1" applyProtection="1">
      <alignment horizontal="right"/>
    </xf>
    <xf numFmtId="171" fontId="17" fillId="0" borderId="41" xfId="5" applyNumberFormat="1" applyFont="1" applyBorder="1" applyAlignment="1" applyProtection="1">
      <alignment vertical="top"/>
      <protection locked="0"/>
    </xf>
    <xf numFmtId="171" fontId="17" fillId="0" borderId="36" xfId="5" applyNumberFormat="1" applyFont="1" applyBorder="1" applyAlignment="1" applyProtection="1">
      <alignment vertical="top"/>
      <protection locked="0"/>
    </xf>
    <xf numFmtId="0" fontId="17" fillId="8" borderId="36" xfId="42" applyFont="1" applyFill="1" applyBorder="1" applyAlignment="1" applyProtection="1">
      <alignment vertical="top" wrapText="1"/>
    </xf>
    <xf numFmtId="0" fontId="17" fillId="8" borderId="36" xfId="42" applyFont="1" applyFill="1" applyBorder="1" applyProtection="1"/>
    <xf numFmtId="0" fontId="17" fillId="8" borderId="72" xfId="42" applyFont="1" applyFill="1" applyBorder="1" applyAlignment="1" applyProtection="1">
      <alignment horizontal="right" vertical="top"/>
    </xf>
    <xf numFmtId="171" fontId="17" fillId="0" borderId="21" xfId="5" applyNumberFormat="1" applyFont="1" applyBorder="1" applyAlignment="1" applyProtection="1">
      <alignment vertical="top"/>
      <protection locked="0"/>
    </xf>
    <xf numFmtId="0" fontId="17" fillId="8" borderId="16" xfId="42" applyFont="1" applyFill="1" applyBorder="1" applyAlignment="1" applyProtection="1">
      <alignment vertical="top" wrapText="1"/>
    </xf>
    <xf numFmtId="0" fontId="17" fillId="8" borderId="16" xfId="42" applyFont="1" applyFill="1" applyBorder="1" applyProtection="1"/>
    <xf numFmtId="0" fontId="17" fillId="8" borderId="73" xfId="42" applyFont="1" applyFill="1" applyBorder="1" applyAlignment="1" applyProtection="1">
      <alignment horizontal="right" vertical="top" wrapText="1"/>
    </xf>
    <xf numFmtId="0" fontId="17" fillId="8" borderId="73" xfId="42" applyFont="1" applyFill="1" applyBorder="1" applyAlignment="1" applyProtection="1">
      <alignment horizontal="right"/>
    </xf>
    <xf numFmtId="0" fontId="17" fillId="8" borderId="72" xfId="42" applyFont="1" applyFill="1" applyBorder="1" applyAlignment="1" applyProtection="1">
      <alignment horizontal="right"/>
    </xf>
    <xf numFmtId="171" fontId="17" fillId="0" borderId="22" xfId="5" applyNumberFormat="1" applyFont="1" applyBorder="1" applyProtection="1"/>
    <xf numFmtId="0" fontId="19" fillId="8" borderId="16" xfId="42" applyFont="1" applyFill="1" applyBorder="1" applyProtection="1"/>
    <xf numFmtId="0" fontId="19" fillId="8" borderId="73" xfId="42" applyFont="1" applyFill="1" applyBorder="1" applyAlignment="1" applyProtection="1">
      <alignment horizontal="right"/>
    </xf>
    <xf numFmtId="171" fontId="17" fillId="0" borderId="34" xfId="5" applyNumberFormat="1" applyFont="1" applyFill="1" applyBorder="1" applyProtection="1">
      <protection locked="0"/>
    </xf>
    <xf numFmtId="171" fontId="17" fillId="0" borderId="20" xfId="5" applyNumberFormat="1" applyFont="1" applyFill="1" applyBorder="1" applyProtection="1">
      <protection locked="0"/>
    </xf>
    <xf numFmtId="0" fontId="18" fillId="9" borderId="0" xfId="42" applyFont="1" applyFill="1" applyBorder="1" applyProtection="1"/>
    <xf numFmtId="0" fontId="17" fillId="9" borderId="0" xfId="42" applyFont="1" applyFill="1" applyBorder="1" applyProtection="1"/>
    <xf numFmtId="0" fontId="18" fillId="9" borderId="10" xfId="42" applyFont="1" applyFill="1" applyBorder="1" applyProtection="1"/>
    <xf numFmtId="0" fontId="17" fillId="9" borderId="10" xfId="42" applyFont="1" applyFill="1" applyBorder="1" applyProtection="1"/>
    <xf numFmtId="1" fontId="18" fillId="9" borderId="10" xfId="42" applyNumberFormat="1" applyFont="1" applyFill="1" applyBorder="1" applyProtection="1"/>
    <xf numFmtId="0" fontId="19" fillId="0" borderId="0" xfId="42" applyFont="1" applyProtection="1">
      <protection locked="0"/>
    </xf>
    <xf numFmtId="0" fontId="19" fillId="9" borderId="36" xfId="42" applyFont="1" applyFill="1" applyBorder="1" applyProtection="1"/>
    <xf numFmtId="1" fontId="19" fillId="9" borderId="36" xfId="42" applyNumberFormat="1" applyFont="1" applyFill="1" applyBorder="1" applyProtection="1"/>
    <xf numFmtId="1" fontId="19" fillId="9" borderId="72" xfId="42" applyNumberFormat="1" applyFont="1" applyFill="1" applyBorder="1" applyAlignment="1" applyProtection="1">
      <alignment horizontal="right"/>
    </xf>
    <xf numFmtId="0" fontId="17" fillId="9" borderId="36" xfId="42" applyFont="1" applyFill="1" applyBorder="1" applyProtection="1"/>
    <xf numFmtId="1" fontId="17" fillId="9" borderId="73" xfId="42" applyNumberFormat="1" applyFont="1" applyFill="1" applyBorder="1" applyAlignment="1" applyProtection="1">
      <alignment vertical="top"/>
    </xf>
    <xf numFmtId="0" fontId="17" fillId="9" borderId="16" xfId="42" applyFont="1" applyFill="1" applyBorder="1" applyProtection="1"/>
    <xf numFmtId="1" fontId="19" fillId="9" borderId="16" xfId="42" applyNumberFormat="1" applyFont="1" applyFill="1" applyBorder="1" applyProtection="1"/>
    <xf numFmtId="1" fontId="17" fillId="9" borderId="16" xfId="42" applyNumberFormat="1" applyFont="1" applyFill="1" applyBorder="1" applyProtection="1"/>
    <xf numFmtId="0" fontId="17" fillId="0" borderId="0" xfId="42" applyFont="1" applyAlignment="1" applyProtection="1">
      <alignment vertical="top"/>
      <protection locked="0"/>
    </xf>
    <xf numFmtId="0" fontId="17" fillId="9" borderId="16" xfId="42" applyFont="1" applyFill="1" applyBorder="1" applyAlignment="1" applyProtection="1">
      <alignment vertical="top" wrapText="1"/>
    </xf>
    <xf numFmtId="1" fontId="17" fillId="9" borderId="16" xfId="42" applyNumberFormat="1" applyFont="1" applyFill="1" applyBorder="1" applyAlignment="1" applyProtection="1">
      <alignment vertical="top"/>
    </xf>
    <xf numFmtId="1" fontId="17" fillId="9" borderId="73" xfId="42" applyNumberFormat="1" applyFont="1" applyFill="1" applyBorder="1" applyProtection="1"/>
    <xf numFmtId="1" fontId="17" fillId="9" borderId="16" xfId="42" applyNumberFormat="1" applyFont="1" applyFill="1" applyBorder="1" applyAlignment="1" applyProtection="1">
      <alignment horizontal="right"/>
    </xf>
    <xf numFmtId="1" fontId="17" fillId="9" borderId="73" xfId="42" applyNumberFormat="1" applyFont="1" applyFill="1" applyBorder="1" applyAlignment="1" applyProtection="1">
      <alignment horizontal="right"/>
    </xf>
    <xf numFmtId="171" fontId="17" fillId="0" borderId="21" xfId="5" applyNumberFormat="1" applyFont="1" applyFill="1" applyBorder="1" applyAlignment="1" applyProtection="1">
      <alignment horizontal="right"/>
      <protection locked="0"/>
    </xf>
    <xf numFmtId="171" fontId="17" fillId="0" borderId="16" xfId="5" applyNumberFormat="1" applyFont="1" applyFill="1" applyBorder="1" applyAlignment="1" applyProtection="1">
      <alignment horizontal="right"/>
      <protection locked="0"/>
    </xf>
    <xf numFmtId="1" fontId="17" fillId="9" borderId="16" xfId="42" applyNumberFormat="1" applyFont="1" applyFill="1" applyBorder="1" applyAlignment="1" applyProtection="1">
      <alignment horizontal="right" vertical="top" wrapText="1"/>
    </xf>
    <xf numFmtId="1" fontId="17" fillId="9" borderId="73" xfId="42" applyNumberFormat="1" applyFont="1" applyFill="1" applyBorder="1" applyAlignment="1" applyProtection="1">
      <alignment horizontal="right" vertical="top" wrapText="1"/>
    </xf>
    <xf numFmtId="0" fontId="17" fillId="9" borderId="16" xfId="42" applyFont="1" applyFill="1" applyBorder="1" applyAlignment="1" applyProtection="1">
      <alignment vertical="center" wrapText="1"/>
    </xf>
    <xf numFmtId="1" fontId="17" fillId="9" borderId="16" xfId="42" applyNumberFormat="1" applyFont="1" applyFill="1" applyBorder="1" applyAlignment="1" applyProtection="1">
      <alignment horizontal="right" vertical="center" wrapText="1"/>
    </xf>
    <xf numFmtId="1" fontId="17" fillId="9" borderId="73" xfId="42" applyNumberFormat="1" applyFont="1" applyFill="1" applyBorder="1" applyAlignment="1" applyProtection="1">
      <alignment horizontal="right" vertical="center" wrapText="1"/>
    </xf>
    <xf numFmtId="171" fontId="17" fillId="0" borderId="39" xfId="5" applyNumberFormat="1" applyFont="1" applyFill="1" applyBorder="1" applyProtection="1">
      <protection locked="0"/>
    </xf>
    <xf numFmtId="171" fontId="17" fillId="0" borderId="22" xfId="5" applyNumberFormat="1" applyFont="1" applyBorder="1" applyProtection="1">
      <protection locked="0"/>
    </xf>
    <xf numFmtId="0" fontId="17" fillId="9" borderId="22" xfId="42" applyFont="1" applyFill="1" applyBorder="1" applyProtection="1"/>
    <xf numFmtId="1" fontId="17" fillId="9" borderId="22" xfId="42" applyNumberFormat="1" applyFont="1" applyFill="1" applyBorder="1" applyAlignment="1" applyProtection="1">
      <alignment vertical="center"/>
    </xf>
    <xf numFmtId="1" fontId="17" fillId="9" borderId="74" xfId="42" applyNumberFormat="1" applyFont="1" applyFill="1" applyBorder="1" applyAlignment="1" applyProtection="1">
      <alignment vertical="center"/>
    </xf>
    <xf numFmtId="1" fontId="17" fillId="9" borderId="10" xfId="42" applyNumberFormat="1" applyFont="1" applyFill="1" applyBorder="1" applyProtection="1"/>
    <xf numFmtId="0" fontId="19" fillId="9" borderId="72" xfId="42" applyFont="1" applyFill="1" applyBorder="1" applyAlignment="1" applyProtection="1">
      <alignment horizontal="right"/>
    </xf>
    <xf numFmtId="0" fontId="18" fillId="0" borderId="0" xfId="42" applyFont="1" applyAlignment="1" applyProtection="1">
      <alignment vertical="center"/>
    </xf>
    <xf numFmtId="171" fontId="18" fillId="9" borderId="10" xfId="5" applyNumberFormat="1" applyFont="1" applyFill="1" applyBorder="1" applyAlignment="1" applyProtection="1">
      <alignment vertical="center"/>
    </xf>
    <xf numFmtId="0" fontId="18" fillId="9" borderId="10" xfId="42" applyFont="1" applyFill="1" applyBorder="1" applyAlignment="1" applyProtection="1">
      <alignment vertical="center"/>
    </xf>
    <xf numFmtId="1" fontId="17" fillId="9" borderId="10" xfId="42" applyNumberFormat="1" applyFont="1" applyFill="1" applyBorder="1" applyAlignment="1" applyProtection="1">
      <alignment vertical="center"/>
    </xf>
    <xf numFmtId="1" fontId="18" fillId="9" borderId="10" xfId="42" applyNumberFormat="1" applyFont="1" applyFill="1" applyBorder="1" applyAlignment="1" applyProtection="1">
      <alignment vertical="center"/>
    </xf>
    <xf numFmtId="0" fontId="17" fillId="0" borderId="0" xfId="42" applyFont="1" applyAlignment="1" applyProtection="1">
      <alignment vertical="center"/>
    </xf>
    <xf numFmtId="1" fontId="17" fillId="9" borderId="36" xfId="42" applyNumberFormat="1" applyFont="1" applyFill="1" applyBorder="1" applyProtection="1"/>
    <xf numFmtId="1" fontId="17" fillId="9" borderId="72" xfId="42" applyNumberFormat="1" applyFont="1" applyFill="1" applyBorder="1" applyProtection="1"/>
    <xf numFmtId="0" fontId="19" fillId="9" borderId="16" xfId="42" applyFont="1" applyFill="1" applyBorder="1" applyProtection="1"/>
    <xf numFmtId="1" fontId="19" fillId="9" borderId="73" xfId="42" applyNumberFormat="1" applyFont="1" applyFill="1" applyBorder="1" applyAlignment="1" applyProtection="1">
      <alignment horizontal="right"/>
    </xf>
    <xf numFmtId="0" fontId="17" fillId="0" borderId="0" xfId="42" applyFont="1" applyAlignment="1" applyProtection="1">
      <alignment vertical="center"/>
      <protection locked="0"/>
    </xf>
    <xf numFmtId="1" fontId="17" fillId="9" borderId="16" xfId="42" applyNumberFormat="1" applyFont="1" applyFill="1" applyBorder="1" applyAlignment="1" applyProtection="1">
      <alignment vertical="center"/>
    </xf>
    <xf numFmtId="1" fontId="17" fillId="9" borderId="73" xfId="42" applyNumberFormat="1" applyFont="1" applyFill="1" applyBorder="1" applyAlignment="1" applyProtection="1">
      <alignment vertical="center"/>
    </xf>
    <xf numFmtId="0" fontId="18" fillId="0" borderId="0" xfId="42" applyFont="1" applyProtection="1">
      <protection locked="0"/>
    </xf>
    <xf numFmtId="0" fontId="18" fillId="0" borderId="0" xfId="42" applyFont="1" applyAlignment="1" applyProtection="1">
      <alignment vertical="center"/>
      <protection locked="0"/>
    </xf>
    <xf numFmtId="171" fontId="19" fillId="0" borderId="21" xfId="5" applyNumberFormat="1" applyFont="1" applyBorder="1" applyProtection="1">
      <protection locked="0"/>
    </xf>
    <xf numFmtId="171" fontId="19" fillId="0" borderId="21" xfId="5" applyNumberFormat="1" applyFont="1" applyFill="1" applyBorder="1" applyAlignment="1" applyProtection="1">
      <alignment vertical="center"/>
      <protection locked="0"/>
    </xf>
    <xf numFmtId="171" fontId="17" fillId="0" borderId="21" xfId="5" applyNumberFormat="1" applyFont="1" applyFill="1" applyBorder="1" applyAlignment="1" applyProtection="1">
      <alignment horizontal="right" vertical="top" wrapText="1"/>
      <protection locked="0"/>
    </xf>
    <xf numFmtId="0" fontId="19" fillId="0" borderId="0" xfId="42" applyFont="1" applyAlignment="1" applyProtection="1">
      <alignment vertical="top" wrapText="1"/>
      <protection locked="0"/>
    </xf>
    <xf numFmtId="0" fontId="19" fillId="9" borderId="16" xfId="42" applyFont="1" applyFill="1" applyBorder="1" applyAlignment="1" applyProtection="1">
      <alignment vertical="top" wrapText="1"/>
    </xf>
    <xf numFmtId="1" fontId="19" fillId="9" borderId="16" xfId="42" applyNumberFormat="1" applyFont="1" applyFill="1" applyBorder="1" applyAlignment="1" applyProtection="1">
      <alignment horizontal="left" vertical="top" wrapText="1"/>
    </xf>
    <xf numFmtId="1" fontId="19" fillId="9" borderId="73" xfId="42" applyNumberFormat="1" applyFont="1" applyFill="1" applyBorder="1" applyAlignment="1" applyProtection="1">
      <alignment horizontal="right" vertical="top" wrapText="1"/>
    </xf>
    <xf numFmtId="1" fontId="19" fillId="9" borderId="73" xfId="42" applyNumberFormat="1" applyFont="1" applyFill="1" applyBorder="1" applyAlignment="1" applyProtection="1">
      <alignment horizontal="right" vertical="center"/>
    </xf>
    <xf numFmtId="166" fontId="2" fillId="0" borderId="5" xfId="42" applyNumberFormat="1" applyFont="1" applyBorder="1" applyAlignment="1" applyProtection="1">
      <alignment vertical="center"/>
      <protection locked="0"/>
    </xf>
    <xf numFmtId="0" fontId="17" fillId="9" borderId="20" xfId="42" applyFont="1" applyFill="1" applyBorder="1" applyProtection="1"/>
    <xf numFmtId="1" fontId="17" fillId="9" borderId="20" xfId="42" applyNumberFormat="1" applyFont="1" applyFill="1" applyBorder="1" applyAlignment="1" applyProtection="1"/>
    <xf numFmtId="1" fontId="17" fillId="9" borderId="75" xfId="42" applyNumberFormat="1" applyFont="1" applyFill="1" applyBorder="1" applyAlignment="1" applyProtection="1"/>
    <xf numFmtId="0" fontId="18" fillId="10" borderId="0" xfId="42" applyFont="1" applyFill="1" applyAlignment="1" applyProtection="1">
      <alignment horizontal="center"/>
    </xf>
    <xf numFmtId="0" fontId="18" fillId="0" borderId="0" xfId="42" applyFont="1" applyAlignment="1" applyProtection="1">
      <alignment horizontal="center" vertical="center"/>
    </xf>
    <xf numFmtId="0" fontId="18" fillId="11" borderId="8" xfId="42" applyFont="1" applyFill="1" applyBorder="1" applyAlignment="1" applyProtection="1">
      <alignment horizontal="center" vertical="center"/>
    </xf>
    <xf numFmtId="0" fontId="18" fillId="4" borderId="8" xfId="42" applyFont="1" applyFill="1" applyBorder="1" applyAlignment="1" applyProtection="1">
      <alignment horizontal="center" vertical="center"/>
    </xf>
    <xf numFmtId="0" fontId="18" fillId="4" borderId="8" xfId="42" applyFont="1" applyFill="1" applyBorder="1" applyAlignment="1" applyProtection="1">
      <alignment horizontal="right" vertical="center"/>
    </xf>
    <xf numFmtId="0" fontId="18" fillId="4" borderId="7" xfId="42" applyFont="1" applyFill="1" applyBorder="1" applyAlignment="1" applyProtection="1">
      <alignment horizontal="center" vertical="center"/>
    </xf>
    <xf numFmtId="0" fontId="18" fillId="4" borderId="6" xfId="42" applyFont="1" applyFill="1" applyBorder="1" applyAlignment="1" applyProtection="1">
      <alignment horizontal="center" vertical="center"/>
    </xf>
    <xf numFmtId="0" fontId="18" fillId="0" borderId="0" xfId="42" applyFont="1" applyAlignment="1" applyProtection="1">
      <alignment horizontal="centerContinuous" vertical="center"/>
    </xf>
    <xf numFmtId="0" fontId="18" fillId="11" borderId="11" xfId="42" applyFont="1" applyFill="1" applyBorder="1" applyAlignment="1" applyProtection="1">
      <alignment horizontal="center" vertical="center"/>
    </xf>
    <xf numFmtId="0" fontId="18" fillId="4" borderId="11" xfId="42" applyFont="1" applyFill="1" applyBorder="1" applyAlignment="1" applyProtection="1">
      <alignment horizontal="centerContinuous" vertical="center"/>
    </xf>
    <xf numFmtId="0" fontId="22" fillId="4" borderId="4" xfId="42" applyFont="1" applyFill="1" applyBorder="1" applyAlignment="1" applyProtection="1">
      <alignment horizontal="left"/>
    </xf>
    <xf numFmtId="0" fontId="22" fillId="4" borderId="2" xfId="42" applyFont="1" applyFill="1" applyBorder="1" applyAlignment="1" applyProtection="1">
      <alignment horizontal="center"/>
    </xf>
    <xf numFmtId="0" fontId="22" fillId="4" borderId="1" xfId="42" applyFont="1" applyFill="1" applyBorder="1" applyAlignment="1" applyProtection="1">
      <alignment horizontal="centerContinuous"/>
    </xf>
    <xf numFmtId="0" fontId="18" fillId="4" borderId="0" xfId="42" applyFont="1" applyFill="1" applyAlignment="1" applyProtection="1">
      <alignment wrapText="1"/>
    </xf>
    <xf numFmtId="0" fontId="18" fillId="5" borderId="0" xfId="42" applyFont="1" applyFill="1" applyBorder="1" applyProtection="1"/>
    <xf numFmtId="171" fontId="17" fillId="0" borderId="0" xfId="42" applyNumberFormat="1" applyFont="1" applyFill="1" applyBorder="1" applyProtection="1">
      <protection locked="0"/>
    </xf>
    <xf numFmtId="0" fontId="17" fillId="6" borderId="10" xfId="42" applyFont="1" applyFill="1" applyBorder="1" applyAlignment="1" applyProtection="1">
      <alignment horizontal="left" vertical="top"/>
    </xf>
    <xf numFmtId="0" fontId="17" fillId="6" borderId="10" xfId="42" applyFont="1" applyFill="1" applyBorder="1" applyAlignment="1" applyProtection="1">
      <alignment horizontal="right" vertical="top"/>
    </xf>
    <xf numFmtId="0" fontId="17" fillId="6" borderId="0" xfId="42" applyFont="1" applyFill="1" applyBorder="1" applyAlignment="1" applyProtection="1">
      <alignment horizontal="left" vertical="top"/>
    </xf>
    <xf numFmtId="0" fontId="17" fillId="6" borderId="0" xfId="42" applyFont="1" applyFill="1" applyBorder="1" applyAlignment="1" applyProtection="1">
      <alignment horizontal="right" vertical="top"/>
    </xf>
    <xf numFmtId="0" fontId="17" fillId="6" borderId="7" xfId="42" applyFont="1" applyFill="1" applyBorder="1" applyAlignment="1" applyProtection="1">
      <alignment horizontal="left" vertical="top"/>
    </xf>
    <xf numFmtId="0" fontId="17" fillId="6" borderId="7" xfId="42" applyFont="1" applyFill="1" applyBorder="1" applyAlignment="1" applyProtection="1">
      <alignment horizontal="right" vertical="top"/>
    </xf>
    <xf numFmtId="0" fontId="17" fillId="6" borderId="2" xfId="42" applyFont="1" applyFill="1" applyBorder="1" applyAlignment="1" applyProtection="1">
      <alignment horizontal="left" vertical="top"/>
    </xf>
    <xf numFmtId="0" fontId="17" fillId="6" borderId="2" xfId="42" applyFont="1" applyFill="1" applyBorder="1" applyAlignment="1" applyProtection="1">
      <alignment horizontal="right" vertical="top"/>
    </xf>
    <xf numFmtId="0" fontId="17" fillId="6" borderId="10" xfId="42" applyFont="1" applyFill="1" applyBorder="1" applyAlignment="1" applyProtection="1">
      <alignment horizontal="left" vertical="top" wrapText="1"/>
    </xf>
    <xf numFmtId="0" fontId="17" fillId="6" borderId="10" xfId="42" applyFont="1" applyFill="1" applyBorder="1" applyAlignment="1" applyProtection="1">
      <alignment horizontal="right" vertical="top" wrapText="1"/>
    </xf>
    <xf numFmtId="0" fontId="17" fillId="6" borderId="0" xfId="42" applyFont="1" applyFill="1" applyBorder="1" applyAlignment="1" applyProtection="1">
      <alignment horizontal="left" vertical="top" wrapText="1"/>
    </xf>
    <xf numFmtId="0" fontId="17" fillId="6" borderId="2" xfId="42" applyFont="1" applyFill="1" applyBorder="1" applyAlignment="1" applyProtection="1">
      <alignment horizontal="left" vertical="top" wrapText="1"/>
    </xf>
    <xf numFmtId="0" fontId="17" fillId="6" borderId="7" xfId="42" applyFont="1" applyFill="1" applyBorder="1" applyAlignment="1" applyProtection="1">
      <alignment horizontal="left" vertical="top" wrapText="1"/>
    </xf>
    <xf numFmtId="0" fontId="17" fillId="6" borderId="0" xfId="42" applyFont="1" applyFill="1" applyAlignment="1" applyProtection="1">
      <alignment horizontal="right"/>
    </xf>
    <xf numFmtId="0" fontId="17" fillId="7" borderId="16" xfId="42" applyFont="1" applyFill="1" applyBorder="1" applyAlignment="1" applyProtection="1">
      <alignment vertical="top"/>
    </xf>
    <xf numFmtId="1" fontId="17" fillId="9" borderId="73" xfId="42" applyNumberFormat="1" applyFont="1" applyFill="1" applyBorder="1" applyAlignment="1" applyProtection="1">
      <alignment horizontal="right" vertical="top"/>
    </xf>
    <xf numFmtId="0" fontId="18" fillId="0" borderId="0" xfId="42" applyFont="1" applyProtection="1"/>
    <xf numFmtId="1" fontId="19" fillId="9" borderId="16" xfId="42" applyNumberFormat="1" applyFont="1" applyFill="1" applyBorder="1" applyAlignment="1" applyProtection="1">
      <alignment horizontal="right" vertical="top" wrapText="1"/>
    </xf>
    <xf numFmtId="1" fontId="17" fillId="9" borderId="20" xfId="42" applyNumberFormat="1" applyFont="1" applyFill="1" applyBorder="1" applyProtection="1"/>
    <xf numFmtId="1" fontId="17" fillId="9" borderId="75" xfId="42" applyNumberFormat="1" applyFont="1" applyFill="1" applyBorder="1" applyProtection="1"/>
    <xf numFmtId="0" fontId="22" fillId="4" borderId="2" xfId="42" applyFont="1" applyFill="1" applyBorder="1" applyAlignment="1" applyProtection="1">
      <alignment horizontal="left"/>
    </xf>
    <xf numFmtId="169" fontId="17" fillId="0" borderId="0" xfId="42" applyNumberFormat="1" applyFont="1" applyProtection="1"/>
    <xf numFmtId="169" fontId="17" fillId="4" borderId="0" xfId="5" applyNumberFormat="1" applyFont="1" applyFill="1" applyProtection="1"/>
    <xf numFmtId="169" fontId="17" fillId="5" borderId="0" xfId="42" applyNumberFormat="1" applyFont="1" applyFill="1" applyBorder="1" applyProtection="1"/>
    <xf numFmtId="171" fontId="17" fillId="0" borderId="0" xfId="42" applyNumberFormat="1" applyFont="1" applyFill="1" applyBorder="1" applyAlignment="1" applyProtection="1">
      <alignment horizontal="right"/>
      <protection locked="0"/>
    </xf>
    <xf numFmtId="169" fontId="17" fillId="0" borderId="0" xfId="42" applyNumberFormat="1" applyFont="1" applyFill="1" applyBorder="1" applyAlignment="1" applyProtection="1">
      <alignment horizontal="right"/>
      <protection locked="0"/>
    </xf>
    <xf numFmtId="169" fontId="18" fillId="0" borderId="0" xfId="5" applyNumberFormat="1" applyFont="1" applyFill="1" applyBorder="1" applyProtection="1"/>
    <xf numFmtId="0" fontId="17" fillId="0" borderId="0" xfId="42" applyFont="1" applyAlignment="1" applyProtection="1">
      <alignment horizontal="right"/>
    </xf>
    <xf numFmtId="169" fontId="17" fillId="6" borderId="10" xfId="6" applyNumberFormat="1" applyFont="1" applyFill="1" applyBorder="1" applyProtection="1"/>
    <xf numFmtId="169" fontId="17" fillId="6" borderId="0" xfId="5" applyNumberFormat="1" applyFont="1" applyFill="1" applyBorder="1" applyProtection="1"/>
    <xf numFmtId="169" fontId="17" fillId="6" borderId="2" xfId="5" applyNumberFormat="1" applyFont="1" applyFill="1" applyBorder="1" applyProtection="1"/>
    <xf numFmtId="169" fontId="17" fillId="6" borderId="0" xfId="6" applyNumberFormat="1" applyFont="1" applyFill="1" applyBorder="1" applyProtection="1"/>
    <xf numFmtId="169" fontId="17" fillId="6" borderId="7" xfId="6" applyNumberFormat="1" applyFont="1" applyFill="1" applyBorder="1" applyProtection="1"/>
    <xf numFmtId="169" fontId="17" fillId="6" borderId="7" xfId="6" applyNumberFormat="1" applyFont="1" applyFill="1" applyBorder="1" applyAlignment="1" applyProtection="1">
      <alignment vertical="top"/>
    </xf>
    <xf numFmtId="169" fontId="17" fillId="6" borderId="0" xfId="5" applyNumberFormat="1" applyFont="1" applyFill="1" applyBorder="1" applyAlignment="1" applyProtection="1">
      <alignment horizontal="right"/>
    </xf>
    <xf numFmtId="169" fontId="17" fillId="6" borderId="0" xfId="5" applyNumberFormat="1" applyFont="1" applyFill="1" applyBorder="1" applyAlignment="1" applyProtection="1">
      <alignment vertical="top"/>
    </xf>
    <xf numFmtId="169" fontId="17" fillId="6" borderId="2" xfId="5" applyNumberFormat="1" applyFont="1" applyFill="1" applyBorder="1" applyAlignment="1" applyProtection="1">
      <alignment vertical="top"/>
    </xf>
    <xf numFmtId="0" fontId="17" fillId="0" borderId="0" xfId="42" applyFont="1" applyAlignment="1" applyProtection="1">
      <alignment horizontal="left" vertical="top"/>
    </xf>
    <xf numFmtId="172" fontId="17" fillId="6" borderId="7" xfId="6" applyNumberFormat="1" applyFont="1" applyFill="1" applyBorder="1" applyAlignment="1" applyProtection="1">
      <alignment horizontal="left" vertical="top"/>
    </xf>
    <xf numFmtId="169" fontId="17" fillId="6" borderId="7" xfId="6" applyNumberFormat="1" applyFont="1" applyFill="1" applyBorder="1" applyAlignment="1" applyProtection="1">
      <alignment horizontal="left" vertical="top"/>
    </xf>
    <xf numFmtId="172" fontId="17" fillId="6" borderId="0" xfId="6" applyNumberFormat="1" applyFont="1" applyFill="1" applyBorder="1" applyAlignment="1" applyProtection="1">
      <alignment horizontal="left" vertical="top"/>
    </xf>
    <xf numFmtId="169" fontId="17" fillId="6" borderId="0" xfId="6" applyNumberFormat="1" applyFont="1" applyFill="1" applyBorder="1" applyAlignment="1" applyProtection="1">
      <alignment horizontal="left" vertical="top"/>
    </xf>
    <xf numFmtId="169" fontId="17" fillId="6" borderId="0" xfId="42" applyNumberFormat="1" applyFont="1" applyFill="1" applyProtection="1"/>
    <xf numFmtId="169" fontId="17" fillId="0" borderId="0" xfId="42" applyNumberFormat="1" applyFont="1" applyFill="1" applyProtection="1"/>
    <xf numFmtId="169" fontId="18" fillId="7" borderId="10" xfId="5" applyNumberFormat="1" applyFont="1" applyFill="1" applyBorder="1" applyProtection="1"/>
    <xf numFmtId="169" fontId="19" fillId="0" borderId="41" xfId="5" applyNumberFormat="1" applyFont="1" applyFill="1" applyBorder="1" applyProtection="1">
      <protection locked="0"/>
    </xf>
    <xf numFmtId="169" fontId="19" fillId="0" borderId="36" xfId="5" applyNumberFormat="1" applyFont="1" applyFill="1" applyBorder="1" applyProtection="1">
      <protection locked="0"/>
    </xf>
    <xf numFmtId="169" fontId="18" fillId="0" borderId="21" xfId="5" applyNumberFormat="1" applyFont="1" applyFill="1" applyBorder="1" applyProtection="1">
      <protection locked="0"/>
    </xf>
    <xf numFmtId="169" fontId="18" fillId="0" borderId="16" xfId="5" applyNumberFormat="1" applyFont="1" applyFill="1" applyBorder="1" applyProtection="1">
      <protection locked="0"/>
    </xf>
    <xf numFmtId="169" fontId="18" fillId="0" borderId="21" xfId="5" applyNumberFormat="1" applyFont="1" applyFill="1" applyBorder="1" applyAlignment="1" applyProtection="1">
      <alignment vertical="top" wrapText="1"/>
      <protection locked="0"/>
    </xf>
    <xf numFmtId="169" fontId="17" fillId="0" borderId="16" xfId="5" applyNumberFormat="1" applyFont="1" applyFill="1" applyBorder="1" applyAlignment="1" applyProtection="1">
      <alignment vertical="top" wrapText="1"/>
      <protection locked="0"/>
    </xf>
    <xf numFmtId="169" fontId="17" fillId="0" borderId="16" xfId="5" applyNumberFormat="1" applyFont="1" applyFill="1" applyBorder="1" applyProtection="1">
      <protection locked="0"/>
    </xf>
    <xf numFmtId="169" fontId="20" fillId="0" borderId="21" xfId="5" applyNumberFormat="1" applyFont="1" applyFill="1" applyBorder="1" applyProtection="1">
      <protection locked="0"/>
    </xf>
    <xf numFmtId="169" fontId="19" fillId="0" borderId="16" xfId="5" applyNumberFormat="1" applyFont="1" applyFill="1" applyBorder="1" applyProtection="1">
      <protection locked="0"/>
    </xf>
    <xf numFmtId="169" fontId="18" fillId="3" borderId="21" xfId="5" applyNumberFormat="1" applyFont="1" applyFill="1" applyBorder="1" applyProtection="1"/>
    <xf numFmtId="169" fontId="18" fillId="3" borderId="16" xfId="5" applyNumberFormat="1" applyFont="1" applyFill="1" applyBorder="1" applyProtection="1"/>
    <xf numFmtId="169" fontId="17" fillId="0" borderId="21" xfId="5" applyNumberFormat="1" applyFont="1" applyFill="1" applyBorder="1" applyProtection="1">
      <protection locked="0"/>
    </xf>
    <xf numFmtId="169" fontId="18" fillId="3" borderId="39" xfId="5" applyNumberFormat="1" applyFont="1" applyFill="1" applyBorder="1" applyProtection="1"/>
    <xf numFmtId="169" fontId="18" fillId="3" borderId="22" xfId="5" applyNumberFormat="1" applyFont="1" applyFill="1" applyBorder="1" applyProtection="1"/>
    <xf numFmtId="169" fontId="18" fillId="0" borderId="41" xfId="5" applyNumberFormat="1" applyFont="1" applyFill="1" applyBorder="1" applyProtection="1">
      <protection locked="0"/>
    </xf>
    <xf numFmtId="169" fontId="17" fillId="0" borderId="36" xfId="5" applyNumberFormat="1" applyFont="1" applyFill="1" applyBorder="1" applyProtection="1">
      <protection locked="0"/>
    </xf>
    <xf numFmtId="169" fontId="17" fillId="0" borderId="21" xfId="5" applyNumberFormat="1" applyFont="1" applyFill="1" applyBorder="1" applyAlignment="1" applyProtection="1">
      <alignment vertical="top" wrapText="1"/>
      <protection locked="0"/>
    </xf>
    <xf numFmtId="169" fontId="17" fillId="0" borderId="21" xfId="5" applyNumberFormat="1" applyFont="1" applyFill="1" applyBorder="1" applyAlignment="1" applyProtection="1">
      <alignment vertical="top"/>
      <protection locked="0"/>
    </xf>
    <xf numFmtId="169" fontId="17" fillId="0" borderId="16" xfId="5" applyNumberFormat="1" applyFont="1" applyFill="1" applyBorder="1" applyAlignment="1" applyProtection="1">
      <alignment vertical="top"/>
      <protection locked="0"/>
    </xf>
    <xf numFmtId="169" fontId="18" fillId="8" borderId="0" xfId="5" applyNumberFormat="1" applyFont="1" applyFill="1" applyBorder="1" applyProtection="1"/>
    <xf numFmtId="169" fontId="18" fillId="8" borderId="10" xfId="5" applyNumberFormat="1" applyFont="1" applyFill="1" applyBorder="1" applyProtection="1"/>
    <xf numFmtId="169" fontId="17" fillId="0" borderId="41" xfId="5" applyNumberFormat="1" applyFont="1" applyBorder="1" applyAlignment="1" applyProtection="1">
      <alignment vertical="top"/>
      <protection locked="0"/>
    </xf>
    <xf numFmtId="169" fontId="17" fillId="0" borderId="36" xfId="5" applyNumberFormat="1" applyFont="1" applyBorder="1" applyAlignment="1" applyProtection="1">
      <alignment vertical="top"/>
      <protection locked="0"/>
    </xf>
    <xf numFmtId="171" fontId="17" fillId="0" borderId="41" xfId="5" applyNumberFormat="1" applyFont="1" applyBorder="1" applyAlignment="1" applyProtection="1">
      <alignment vertical="top"/>
    </xf>
    <xf numFmtId="171" fontId="17" fillId="0" borderId="36" xfId="5" applyNumberFormat="1" applyFont="1" applyBorder="1" applyAlignment="1" applyProtection="1">
      <alignment vertical="top"/>
    </xf>
    <xf numFmtId="0" fontId="17" fillId="8" borderId="36" xfId="42" applyFont="1" applyFill="1" applyBorder="1" applyAlignment="1" applyProtection="1">
      <alignment vertical="top"/>
    </xf>
    <xf numFmtId="169" fontId="17" fillId="0" borderId="21" xfId="5" applyNumberFormat="1" applyFont="1" applyBorder="1" applyAlignment="1" applyProtection="1">
      <alignment vertical="top"/>
      <protection locked="0"/>
    </xf>
    <xf numFmtId="169" fontId="17" fillId="0" borderId="16" xfId="5" applyNumberFormat="1" applyFont="1" applyBorder="1" applyAlignment="1" applyProtection="1">
      <alignment vertical="top"/>
      <protection locked="0"/>
    </xf>
    <xf numFmtId="171" fontId="17" fillId="0" borderId="21" xfId="5" applyNumberFormat="1" applyFont="1" applyBorder="1" applyAlignment="1" applyProtection="1">
      <alignment vertical="top"/>
    </xf>
    <xf numFmtId="0" fontId="17" fillId="8" borderId="16" xfId="42" applyFont="1" applyFill="1" applyBorder="1" applyAlignment="1" applyProtection="1">
      <alignment vertical="top"/>
    </xf>
    <xf numFmtId="169" fontId="17" fillId="0" borderId="21" xfId="5" applyNumberFormat="1" applyFont="1" applyBorder="1" applyProtection="1">
      <protection locked="0"/>
    </xf>
    <xf numFmtId="169" fontId="17" fillId="0" borderId="41" xfId="5" applyNumberFormat="1" applyFont="1" applyFill="1" applyBorder="1" applyProtection="1">
      <protection locked="0"/>
    </xf>
    <xf numFmtId="169" fontId="17" fillId="0" borderId="7" xfId="5" applyNumberFormat="1" applyFont="1" applyBorder="1" applyProtection="1"/>
    <xf numFmtId="169" fontId="17" fillId="0" borderId="7" xfId="5" applyNumberFormat="1" applyFont="1" applyFill="1" applyBorder="1" applyProtection="1"/>
    <xf numFmtId="169" fontId="18" fillId="9" borderId="0" xfId="5" applyNumberFormat="1" applyFont="1" applyFill="1" applyBorder="1" applyProtection="1"/>
    <xf numFmtId="169" fontId="18" fillId="9" borderId="10" xfId="5" applyNumberFormat="1" applyFont="1" applyFill="1" applyBorder="1" applyProtection="1"/>
    <xf numFmtId="1" fontId="17" fillId="9" borderId="73" xfId="42" applyNumberFormat="1" applyFont="1" applyFill="1" applyBorder="1" applyAlignment="1" applyProtection="1">
      <alignment horizontal="right" vertical="center"/>
    </xf>
    <xf numFmtId="1" fontId="19" fillId="9" borderId="16" xfId="42" applyNumberFormat="1" applyFont="1" applyFill="1" applyBorder="1" applyAlignment="1" applyProtection="1">
      <alignment horizontal="right"/>
    </xf>
    <xf numFmtId="169" fontId="17" fillId="0" borderId="16" xfId="5" applyNumberFormat="1" applyFont="1" applyFill="1" applyBorder="1" applyAlignment="1" applyProtection="1">
      <alignment horizontal="right" vertical="top"/>
      <protection locked="0"/>
    </xf>
    <xf numFmtId="171" fontId="17" fillId="0" borderId="22" xfId="5" applyNumberFormat="1" applyFont="1" applyFill="1" applyBorder="1" applyProtection="1">
      <protection locked="0"/>
    </xf>
    <xf numFmtId="169" fontId="17" fillId="0" borderId="22" xfId="5" applyNumberFormat="1" applyFont="1" applyFill="1" applyBorder="1" applyProtection="1">
      <protection locked="0"/>
    </xf>
    <xf numFmtId="171" fontId="17" fillId="0" borderId="39" xfId="5" applyNumberFormat="1" applyFont="1" applyFill="1" applyBorder="1" applyProtection="1"/>
    <xf numFmtId="169" fontId="17" fillId="0" borderId="16" xfId="5" applyNumberFormat="1" applyFont="1" applyBorder="1" applyProtection="1">
      <protection locked="0"/>
    </xf>
    <xf numFmtId="169" fontId="17" fillId="0" borderId="16" xfId="5" applyNumberFormat="1" applyFont="1" applyFill="1" applyBorder="1" applyAlignment="1" applyProtection="1">
      <alignment vertical="center"/>
      <protection locked="0"/>
    </xf>
    <xf numFmtId="169" fontId="17" fillId="0" borderId="36" xfId="5" applyNumberFormat="1" applyFont="1" applyBorder="1" applyProtection="1">
      <protection locked="0"/>
    </xf>
    <xf numFmtId="169" fontId="19" fillId="0" borderId="16" xfId="5" applyNumberFormat="1" applyFont="1" applyFill="1" applyBorder="1" applyAlignment="1" applyProtection="1">
      <alignment vertical="center"/>
      <protection locked="0"/>
    </xf>
    <xf numFmtId="169" fontId="19" fillId="0" borderId="16" xfId="5" applyNumberFormat="1" applyFont="1" applyFill="1" applyBorder="1" applyAlignment="1" applyProtection="1">
      <alignment horizontal="right" vertical="top" wrapText="1"/>
      <protection locked="0"/>
    </xf>
    <xf numFmtId="171" fontId="19" fillId="0" borderId="21" xfId="5" applyNumberFormat="1" applyFont="1" applyFill="1" applyBorder="1" applyAlignment="1" applyProtection="1">
      <alignment horizontal="right" vertical="top" wrapText="1"/>
      <protection locked="0"/>
    </xf>
    <xf numFmtId="169" fontId="17" fillId="0" borderId="16" xfId="5" applyNumberFormat="1" applyFont="1" applyFill="1" applyBorder="1" applyAlignment="1" applyProtection="1">
      <alignment horizontal="right" vertical="top" wrapText="1"/>
      <protection locked="0"/>
    </xf>
    <xf numFmtId="169" fontId="17" fillId="0" borderId="20" xfId="5" applyNumberFormat="1" applyFont="1" applyBorder="1" applyProtection="1">
      <protection locked="0"/>
    </xf>
    <xf numFmtId="169" fontId="18" fillId="10" borderId="0" xfId="42" applyNumberFormat="1" applyFont="1" applyFill="1" applyAlignment="1" applyProtection="1">
      <alignment horizontal="center"/>
      <protection locked="0"/>
    </xf>
    <xf numFmtId="169" fontId="17" fillId="0" borderId="0" xfId="42" applyNumberFormat="1" applyFont="1" applyFill="1" applyProtection="1">
      <protection locked="0"/>
    </xf>
    <xf numFmtId="169" fontId="18" fillId="4" borderId="8" xfId="42" applyNumberFormat="1" applyFont="1" applyFill="1" applyBorder="1" applyAlignment="1" applyProtection="1">
      <alignment horizontal="center" vertical="center"/>
    </xf>
    <xf numFmtId="169" fontId="18" fillId="11" borderId="8" xfId="42" applyNumberFormat="1" applyFont="1" applyFill="1" applyBorder="1" applyAlignment="1" applyProtection="1">
      <alignment horizontal="center" vertical="center"/>
    </xf>
    <xf numFmtId="169" fontId="18" fillId="4" borderId="11" xfId="42" applyNumberFormat="1" applyFont="1" applyFill="1" applyBorder="1" applyAlignment="1" applyProtection="1">
      <alignment horizontal="centerContinuous" vertical="center"/>
    </xf>
    <xf numFmtId="169" fontId="18" fillId="11" borderId="11" xfId="42" applyNumberFormat="1" applyFont="1" applyFill="1" applyBorder="1" applyAlignment="1" applyProtection="1">
      <alignment horizontal="center" vertical="center"/>
    </xf>
    <xf numFmtId="0" fontId="43" fillId="4" borderId="0" xfId="42" applyFont="1" applyFill="1" applyBorder="1" applyAlignment="1" applyProtection="1">
      <alignment vertical="center"/>
    </xf>
    <xf numFmtId="171" fontId="17" fillId="0" borderId="34" xfId="5" applyNumberFormat="1" applyFont="1" applyFill="1" applyBorder="1" applyProtection="1"/>
    <xf numFmtId="1" fontId="17" fillId="9" borderId="20" xfId="42" applyNumberFormat="1" applyFont="1" applyFill="1" applyBorder="1" applyAlignment="1" applyProtection="1">
      <alignment vertical="center"/>
    </xf>
    <xf numFmtId="1" fontId="17" fillId="9" borderId="75" xfId="42" applyNumberFormat="1" applyFont="1" applyFill="1" applyBorder="1" applyAlignment="1" applyProtection="1">
      <alignment vertical="center"/>
    </xf>
    <xf numFmtId="171" fontId="17" fillId="0" borderId="21" xfId="5" applyNumberFormat="1" applyFont="1" applyFill="1" applyBorder="1" applyAlignment="1" applyProtection="1">
      <alignment vertical="top" wrapText="1"/>
    </xf>
    <xf numFmtId="0" fontId="18" fillId="10" borderId="0" xfId="42" applyFont="1" applyFill="1" applyAlignment="1" applyProtection="1">
      <alignment horizontal="center"/>
      <protection locked="0"/>
    </xf>
    <xf numFmtId="172" fontId="17" fillId="6" borderId="2" xfId="6" applyNumberFormat="1" applyFont="1" applyFill="1" applyBorder="1" applyAlignment="1" applyProtection="1">
      <alignment vertical="top"/>
    </xf>
    <xf numFmtId="0" fontId="18" fillId="6" borderId="0" xfId="42" applyFont="1" applyFill="1" applyAlignment="1" applyProtection="1">
      <alignment horizontal="left"/>
    </xf>
    <xf numFmtId="0" fontId="18" fillId="7" borderId="10" xfId="42" applyFont="1" applyFill="1" applyBorder="1" applyAlignment="1" applyProtection="1">
      <alignment horizontal="right"/>
    </xf>
    <xf numFmtId="0" fontId="18" fillId="7" borderId="74" xfId="42" applyFont="1" applyFill="1" applyBorder="1" applyAlignment="1" applyProtection="1">
      <alignment horizontal="right"/>
    </xf>
    <xf numFmtId="0" fontId="17" fillId="0" borderId="0" xfId="42" applyFont="1" applyFill="1" applyBorder="1" applyAlignment="1" applyProtection="1">
      <alignment horizontal="right"/>
    </xf>
    <xf numFmtId="171" fontId="18" fillId="0" borderId="41" xfId="5" applyNumberFormat="1" applyFont="1" applyFill="1" applyBorder="1" applyAlignment="1" applyProtection="1">
      <alignment vertical="top" wrapText="1"/>
      <protection locked="0"/>
    </xf>
    <xf numFmtId="171" fontId="17" fillId="0" borderId="36" xfId="5" applyNumberFormat="1" applyFont="1" applyFill="1" applyBorder="1" applyAlignment="1" applyProtection="1">
      <alignment vertical="top" wrapText="1"/>
      <protection locked="0"/>
    </xf>
    <xf numFmtId="171" fontId="17" fillId="0" borderId="36" xfId="5" applyNumberFormat="1" applyFont="1" applyFill="1" applyBorder="1" applyAlignment="1" applyProtection="1">
      <alignment vertical="top" wrapText="1"/>
    </xf>
    <xf numFmtId="0" fontId="17" fillId="7" borderId="36" xfId="42" applyFont="1" applyFill="1" applyBorder="1" applyAlignment="1" applyProtection="1">
      <alignment vertical="top" wrapText="1"/>
    </xf>
    <xf numFmtId="0" fontId="17" fillId="7" borderId="72" xfId="42" applyFont="1" applyFill="1" applyBorder="1" applyAlignment="1" applyProtection="1">
      <alignment horizontal="right" vertical="top" wrapText="1"/>
    </xf>
    <xf numFmtId="0" fontId="18" fillId="7" borderId="0" xfId="42" applyFont="1" applyFill="1" applyBorder="1" applyAlignment="1" applyProtection="1">
      <alignment horizontal="right"/>
    </xf>
    <xf numFmtId="0" fontId="17" fillId="8" borderId="0" xfId="42" applyFont="1" applyFill="1" applyBorder="1" applyAlignment="1" applyProtection="1">
      <alignment horizontal="right"/>
    </xf>
    <xf numFmtId="0" fontId="17" fillId="8" borderId="10" xfId="42" applyFont="1" applyFill="1" applyBorder="1" applyAlignment="1" applyProtection="1">
      <alignment horizontal="right"/>
    </xf>
    <xf numFmtId="0" fontId="17" fillId="0" borderId="0" xfId="42" applyFont="1" applyAlignment="1" applyProtection="1">
      <alignment vertical="top" wrapText="1"/>
      <protection locked="0"/>
    </xf>
    <xf numFmtId="0" fontId="17" fillId="9" borderId="0" xfId="42" applyFont="1" applyFill="1" applyBorder="1" applyAlignment="1" applyProtection="1">
      <alignment horizontal="right"/>
    </xf>
    <xf numFmtId="0" fontId="17" fillId="9" borderId="10" xfId="42" applyFont="1" applyFill="1" applyBorder="1" applyAlignment="1" applyProtection="1">
      <alignment horizontal="right"/>
    </xf>
    <xf numFmtId="1" fontId="18" fillId="9" borderId="10" xfId="42" applyNumberFormat="1" applyFont="1" applyFill="1" applyBorder="1" applyAlignment="1" applyProtection="1">
      <alignment horizontal="right"/>
    </xf>
    <xf numFmtId="1" fontId="19" fillId="9" borderId="16" xfId="42" applyNumberFormat="1" applyFont="1" applyFill="1" applyBorder="1" applyAlignment="1" applyProtection="1">
      <alignment vertical="top" wrapText="1"/>
    </xf>
    <xf numFmtId="1" fontId="17" fillId="9" borderId="16" xfId="42" applyNumberFormat="1" applyFont="1" applyFill="1" applyBorder="1" applyAlignment="1" applyProtection="1">
      <alignment vertical="top" wrapText="1"/>
    </xf>
    <xf numFmtId="1" fontId="17" fillId="9" borderId="74" xfId="42" applyNumberFormat="1" applyFont="1" applyFill="1" applyBorder="1" applyAlignment="1" applyProtection="1">
      <alignment horizontal="right" vertical="center"/>
    </xf>
    <xf numFmtId="1" fontId="17" fillId="9" borderId="10" xfId="42" applyNumberFormat="1" applyFont="1" applyFill="1" applyBorder="1" applyAlignment="1" applyProtection="1">
      <alignment horizontal="right"/>
    </xf>
    <xf numFmtId="171" fontId="19" fillId="0" borderId="41" xfId="5" applyNumberFormat="1" applyFont="1" applyFill="1" applyBorder="1" applyAlignment="1" applyProtection="1">
      <alignment horizontal="right"/>
      <protection locked="0"/>
    </xf>
    <xf numFmtId="171" fontId="19" fillId="0" borderId="41" xfId="5" applyNumberFormat="1" applyFont="1" applyFill="1" applyBorder="1" applyAlignment="1" applyProtection="1">
      <alignment horizontal="right"/>
    </xf>
    <xf numFmtId="171" fontId="17" fillId="0" borderId="21" xfId="5" applyNumberFormat="1" applyFont="1" applyFill="1" applyBorder="1" applyAlignment="1" applyProtection="1">
      <alignment horizontal="right" vertical="top" wrapText="1"/>
    </xf>
    <xf numFmtId="171" fontId="17" fillId="0" borderId="21" xfId="5" applyNumberFormat="1" applyFont="1" applyFill="1" applyBorder="1" applyAlignment="1" applyProtection="1">
      <alignment horizontal="right"/>
    </xf>
    <xf numFmtId="1" fontId="17" fillId="9" borderId="72" xfId="42" applyNumberFormat="1" applyFont="1" applyFill="1" applyBorder="1" applyAlignment="1" applyProtection="1">
      <alignment horizontal="right"/>
    </xf>
    <xf numFmtId="171" fontId="19" fillId="0" borderId="21" xfId="5" applyNumberFormat="1" applyFont="1" applyFill="1" applyBorder="1" applyAlignment="1" applyProtection="1">
      <alignment horizontal="right" vertical="top" wrapText="1"/>
    </xf>
    <xf numFmtId="1" fontId="17" fillId="9" borderId="75" xfId="42" applyNumberFormat="1" applyFont="1" applyFill="1" applyBorder="1" applyAlignment="1" applyProtection="1">
      <alignment horizontal="right"/>
    </xf>
    <xf numFmtId="0" fontId="18" fillId="4" borderId="6" xfId="42" applyFont="1" applyFill="1" applyBorder="1" applyAlignment="1" applyProtection="1">
      <alignment horizontal="right" vertical="center"/>
    </xf>
    <xf numFmtId="0" fontId="22" fillId="4" borderId="1" xfId="42" applyFont="1" applyFill="1" applyBorder="1" applyAlignment="1" applyProtection="1">
      <alignment horizontal="right"/>
    </xf>
    <xf numFmtId="0" fontId="18" fillId="0" borderId="0" xfId="42" applyFont="1" applyFill="1" applyBorder="1" applyAlignment="1" applyProtection="1">
      <alignment horizontal="right"/>
    </xf>
    <xf numFmtId="171" fontId="18" fillId="0" borderId="21" xfId="5" applyNumberFormat="1" applyFont="1" applyFill="1" applyBorder="1" applyProtection="1"/>
    <xf numFmtId="171" fontId="18" fillId="0" borderId="21" xfId="5" applyNumberFormat="1" applyFont="1" applyFill="1" applyBorder="1" applyAlignment="1" applyProtection="1">
      <alignment vertical="top" wrapText="1"/>
    </xf>
    <xf numFmtId="171" fontId="20" fillId="0" borderId="21" xfId="5" applyNumberFormat="1" applyFont="1" applyFill="1" applyBorder="1" applyProtection="1"/>
    <xf numFmtId="171" fontId="18" fillId="0" borderId="41" xfId="5" applyNumberFormat="1" applyFont="1" applyFill="1" applyBorder="1" applyAlignment="1" applyProtection="1">
      <alignment vertical="top" wrapText="1"/>
    </xf>
    <xf numFmtId="3" fontId="2" fillId="0" borderId="0" xfId="42" applyNumberFormat="1"/>
    <xf numFmtId="171" fontId="19" fillId="0" borderId="21" xfId="5" applyNumberFormat="1" applyFont="1" applyBorder="1" applyAlignment="1" applyProtection="1">
      <alignment horizontal="right" vertical="top" wrapText="1"/>
    </xf>
    <xf numFmtId="171" fontId="17" fillId="0" borderId="34" xfId="5" applyNumberFormat="1" applyFont="1" applyBorder="1" applyProtection="1"/>
    <xf numFmtId="0" fontId="21" fillId="34" borderId="0" xfId="42" applyFont="1" applyFill="1" applyAlignment="1" applyProtection="1">
      <alignment horizontal="center"/>
    </xf>
    <xf numFmtId="171" fontId="17" fillId="0" borderId="41" xfId="5" applyNumberFormat="1" applyFont="1" applyFill="1" applyBorder="1" applyAlignment="1" applyProtection="1">
      <alignment vertical="top"/>
      <protection locked="0"/>
    </xf>
    <xf numFmtId="171" fontId="17" fillId="0" borderId="36" xfId="5" applyNumberFormat="1" applyFont="1" applyFill="1" applyBorder="1" applyAlignment="1" applyProtection="1">
      <alignment vertical="top"/>
      <protection locked="0"/>
    </xf>
    <xf numFmtId="171" fontId="17" fillId="0" borderId="41" xfId="5" applyNumberFormat="1" applyFont="1" applyFill="1" applyBorder="1" applyAlignment="1" applyProtection="1">
      <alignment vertical="top"/>
    </xf>
    <xf numFmtId="171" fontId="17" fillId="0" borderId="36" xfId="5" applyNumberFormat="1" applyFont="1" applyFill="1" applyBorder="1" applyAlignment="1" applyProtection="1">
      <alignment vertical="top"/>
    </xf>
    <xf numFmtId="171" fontId="17" fillId="0" borderId="39" xfId="5" applyNumberFormat="1" applyFont="1" applyBorder="1" applyProtection="1">
      <protection locked="0"/>
    </xf>
    <xf numFmtId="171" fontId="48" fillId="0" borderId="0" xfId="42" applyNumberFormat="1" applyFont="1" applyFill="1" applyBorder="1" applyProtection="1">
      <protection locked="0"/>
    </xf>
    <xf numFmtId="0" fontId="18" fillId="6" borderId="0" xfId="42" applyFont="1" applyFill="1" applyProtection="1"/>
    <xf numFmtId="1" fontId="17" fillId="9" borderId="73" xfId="42" applyNumberFormat="1" applyFont="1" applyFill="1" applyBorder="1" applyAlignment="1" applyProtection="1">
      <alignment vertical="top" wrapText="1"/>
    </xf>
    <xf numFmtId="1" fontId="19" fillId="9" borderId="16" xfId="42" applyNumberFormat="1" applyFont="1" applyFill="1" applyBorder="1" applyAlignment="1" applyProtection="1">
      <alignment horizontal="right" vertical="top"/>
    </xf>
    <xf numFmtId="1" fontId="17" fillId="9" borderId="73" xfId="42" applyNumberFormat="1" applyFont="1" applyFill="1" applyBorder="1" applyAlignment="1" applyProtection="1">
      <alignment horizontal="right" wrapText="1"/>
    </xf>
    <xf numFmtId="4" fontId="2" fillId="0" borderId="0" xfId="38" applyNumberFormat="1" applyFont="1" applyProtection="1">
      <protection locked="0"/>
    </xf>
    <xf numFmtId="171" fontId="17" fillId="0" borderId="21" xfId="5" applyNumberFormat="1" applyFont="1" applyFill="1" applyBorder="1" applyAlignment="1" applyProtection="1">
      <alignment horizontal="left" vertical="top"/>
      <protection locked="0"/>
    </xf>
    <xf numFmtId="171" fontId="17" fillId="0" borderId="16" xfId="5" applyNumberFormat="1" applyFont="1" applyFill="1" applyBorder="1" applyAlignment="1" applyProtection="1">
      <alignment horizontal="left" vertical="top" wrapText="1"/>
      <protection locked="0"/>
    </xf>
    <xf numFmtId="0" fontId="49" fillId="35" borderId="0" xfId="42" applyFont="1" applyFill="1" applyBorder="1" applyAlignment="1" applyProtection="1">
      <alignment vertical="center"/>
      <protection locked="0"/>
    </xf>
    <xf numFmtId="0" fontId="49" fillId="35" borderId="0" xfId="42" applyFont="1" applyFill="1" applyBorder="1" applyAlignment="1" applyProtection="1">
      <alignment vertical="center"/>
    </xf>
    <xf numFmtId="0" fontId="17" fillId="6" borderId="7" xfId="42" applyFont="1" applyFill="1" applyBorder="1" applyAlignment="1" applyProtection="1">
      <alignment vertical="center" wrapText="1"/>
    </xf>
    <xf numFmtId="0" fontId="17" fillId="6" borderId="7" xfId="42" applyFont="1" applyFill="1" applyBorder="1" applyAlignment="1" applyProtection="1">
      <alignment horizontal="right" vertical="center" wrapText="1"/>
    </xf>
    <xf numFmtId="172" fontId="17" fillId="6" borderId="0" xfId="6" applyNumberFormat="1" applyFont="1" applyFill="1" applyBorder="1" applyAlignment="1" applyProtection="1">
      <alignment vertical="center"/>
    </xf>
    <xf numFmtId="0" fontId="17" fillId="6" borderId="0" xfId="42" applyFont="1" applyFill="1" applyBorder="1" applyAlignment="1" applyProtection="1">
      <alignment vertical="center" wrapText="1"/>
    </xf>
    <xf numFmtId="0" fontId="17" fillId="6" borderId="0" xfId="42" applyFont="1" applyFill="1" applyBorder="1" applyAlignment="1" applyProtection="1">
      <alignment horizontal="right" vertical="center" wrapText="1"/>
    </xf>
    <xf numFmtId="171" fontId="17" fillId="0" borderId="21" xfId="5" applyNumberFormat="1" applyFont="1" applyFill="1" applyBorder="1" applyAlignment="1" applyProtection="1">
      <protection locked="0"/>
    </xf>
    <xf numFmtId="171" fontId="17" fillId="0" borderId="16" xfId="5" applyNumberFormat="1" applyFont="1" applyFill="1" applyBorder="1" applyAlignment="1" applyProtection="1">
      <protection locked="0"/>
    </xf>
    <xf numFmtId="171" fontId="17" fillId="0" borderId="21" xfId="5" applyNumberFormat="1" applyFont="1" applyFill="1" applyBorder="1" applyAlignment="1" applyProtection="1"/>
    <xf numFmtId="171" fontId="17" fillId="0" borderId="16" xfId="5" applyNumberFormat="1" applyFont="1" applyFill="1" applyBorder="1" applyAlignment="1" applyProtection="1"/>
    <xf numFmtId="0" fontId="17" fillId="9" borderId="16" xfId="42" applyFont="1" applyFill="1" applyBorder="1" applyAlignment="1" applyProtection="1">
      <alignment wrapText="1"/>
    </xf>
    <xf numFmtId="1" fontId="17" fillId="9" borderId="16" xfId="42" applyNumberFormat="1" applyFont="1" applyFill="1" applyBorder="1" applyAlignment="1" applyProtection="1">
      <alignment horizontal="right" wrapText="1"/>
    </xf>
    <xf numFmtId="171" fontId="17" fillId="0" borderId="21" xfId="5" applyNumberFormat="1" applyFont="1" applyBorder="1" applyAlignment="1" applyProtection="1">
      <protection locked="0"/>
    </xf>
    <xf numFmtId="171" fontId="17" fillId="0" borderId="16" xfId="5" applyNumberFormat="1" applyFont="1" applyBorder="1" applyAlignment="1" applyProtection="1">
      <protection locked="0"/>
    </xf>
    <xf numFmtId="170" fontId="17" fillId="4" borderId="0" xfId="5" applyFont="1" applyFill="1" applyProtection="1"/>
    <xf numFmtId="0" fontId="17" fillId="6" borderId="10" xfId="42" applyFont="1" applyFill="1" applyBorder="1" applyAlignment="1" applyProtection="1">
      <alignment horizontal="left"/>
    </xf>
    <xf numFmtId="0" fontId="17" fillId="6" borderId="0" xfId="42" applyFont="1" applyFill="1" applyBorder="1" applyAlignment="1" applyProtection="1">
      <alignment horizontal="left"/>
    </xf>
    <xf numFmtId="0" fontId="17" fillId="6" borderId="7" xfId="42" applyFont="1" applyFill="1" applyBorder="1" applyAlignment="1" applyProtection="1">
      <alignment horizontal="left"/>
    </xf>
    <xf numFmtId="0" fontId="17" fillId="6" borderId="2" xfId="42" applyFont="1" applyFill="1" applyBorder="1" applyAlignment="1" applyProtection="1">
      <alignment horizontal="left"/>
    </xf>
    <xf numFmtId="0" fontId="19" fillId="0" borderId="0" xfId="42" applyFont="1" applyAlignment="1" applyProtection="1">
      <alignment vertical="top"/>
      <protection locked="0"/>
    </xf>
    <xf numFmtId="171" fontId="18" fillId="9" borderId="10" xfId="5" quotePrefix="1" applyNumberFormat="1" applyFont="1" applyFill="1" applyBorder="1" applyProtection="1"/>
    <xf numFmtId="171" fontId="17" fillId="0" borderId="0" xfId="5" applyNumberFormat="1" applyFont="1" applyBorder="1" applyAlignment="1" applyProtection="1">
      <alignment vertical="top"/>
      <protection locked="0"/>
    </xf>
    <xf numFmtId="171" fontId="17" fillId="0" borderId="2" xfId="5" applyNumberFormat="1" applyFont="1" applyBorder="1" applyAlignment="1" applyProtection="1">
      <alignment vertical="top"/>
      <protection locked="0"/>
    </xf>
    <xf numFmtId="171" fontId="17" fillId="0" borderId="21" xfId="5" applyNumberFormat="1" applyFont="1" applyBorder="1" applyAlignment="1" applyProtection="1">
      <alignment horizontal="right" vertical="top"/>
      <protection locked="0"/>
    </xf>
    <xf numFmtId="171" fontId="19" fillId="0" borderId="0" xfId="5" applyNumberFormat="1" applyFont="1" applyFill="1" applyBorder="1" applyProtection="1">
      <protection locked="0"/>
    </xf>
    <xf numFmtId="171" fontId="19" fillId="0" borderId="0" xfId="5" applyNumberFormat="1" applyFont="1" applyFill="1" applyBorder="1" applyAlignment="1" applyProtection="1">
      <alignment vertical="top"/>
      <protection locked="0"/>
    </xf>
    <xf numFmtId="171" fontId="17" fillId="0" borderId="0" xfId="5" applyNumberFormat="1" applyFont="1" applyFill="1" applyBorder="1" applyAlignment="1" applyProtection="1">
      <alignment vertical="top" wrapText="1"/>
      <protection locked="0"/>
    </xf>
    <xf numFmtId="171" fontId="19" fillId="0" borderId="0" xfId="5" applyNumberFormat="1" applyFont="1" applyFill="1" applyBorder="1" applyAlignment="1" applyProtection="1">
      <alignment vertical="top" wrapText="1"/>
      <protection locked="0"/>
    </xf>
    <xf numFmtId="171" fontId="17" fillId="0" borderId="0" xfId="5" applyNumberFormat="1" applyFont="1" applyBorder="1" applyProtection="1">
      <protection locked="0"/>
    </xf>
    <xf numFmtId="169" fontId="17" fillId="0" borderId="0" xfId="42" applyNumberFormat="1" applyFont="1" applyAlignment="1" applyProtection="1">
      <alignment horizontal="right" vertical="center"/>
    </xf>
    <xf numFmtId="171" fontId="17" fillId="0" borderId="90" xfId="5" applyNumberFormat="1" applyFont="1" applyFill="1" applyBorder="1" applyProtection="1">
      <protection locked="0"/>
    </xf>
    <xf numFmtId="171" fontId="17" fillId="0" borderId="67" xfId="5" applyNumberFormat="1" applyFont="1" applyFill="1" applyBorder="1" applyProtection="1">
      <protection locked="0"/>
    </xf>
    <xf numFmtId="171" fontId="19" fillId="0" borderId="67" xfId="5" applyNumberFormat="1" applyFont="1" applyFill="1" applyBorder="1" applyProtection="1">
      <protection locked="0"/>
    </xf>
    <xf numFmtId="171" fontId="17" fillId="0" borderId="75" xfId="5" applyNumberFormat="1" applyFont="1" applyFill="1" applyBorder="1" applyProtection="1">
      <protection locked="0"/>
    </xf>
    <xf numFmtId="171" fontId="17" fillId="0" borderId="63" xfId="5" applyNumberFormat="1" applyFont="1" applyFill="1" applyBorder="1" applyProtection="1">
      <protection locked="0"/>
    </xf>
    <xf numFmtId="171" fontId="17" fillId="0" borderId="0" xfId="42" applyNumberFormat="1" applyFont="1" applyProtection="1"/>
    <xf numFmtId="171" fontId="17" fillId="0" borderId="16" xfId="5" applyNumberFormat="1" applyFont="1" applyFill="1" applyBorder="1" applyAlignment="1" applyProtection="1">
      <alignment horizontal="right"/>
    </xf>
    <xf numFmtId="171" fontId="17" fillId="0" borderId="0" xfId="5" applyNumberFormat="1" applyFont="1" applyFill="1" applyBorder="1" applyAlignment="1" applyProtection="1">
      <alignment vertical="center"/>
      <protection locked="0"/>
    </xf>
    <xf numFmtId="171" fontId="17" fillId="0" borderId="0" xfId="5" applyNumberFormat="1" applyFont="1" applyFill="1" applyBorder="1" applyAlignment="1" applyProtection="1">
      <alignment vertical="top"/>
      <protection locked="0"/>
    </xf>
    <xf numFmtId="171" fontId="19" fillId="0" borderId="0" xfId="5" applyNumberFormat="1" applyFont="1" applyBorder="1" applyProtection="1">
      <protection locked="0"/>
    </xf>
    <xf numFmtId="171" fontId="19" fillId="0" borderId="0" xfId="5" applyNumberFormat="1" applyFont="1" applyBorder="1" applyAlignment="1" applyProtection="1">
      <alignment horizontal="right" vertical="top" wrapText="1"/>
      <protection locked="0"/>
    </xf>
    <xf numFmtId="164" fontId="2" fillId="0" borderId="1" xfId="57" applyFont="1" applyBorder="1" applyAlignment="1" applyProtection="1">
      <alignment horizontal="left" vertical="center"/>
    </xf>
    <xf numFmtId="164" fontId="3" fillId="0" borderId="2" xfId="57" applyFont="1" applyBorder="1" applyAlignment="1" applyProtection="1">
      <alignment horizontal="left" vertical="center"/>
    </xf>
    <xf numFmtId="164" fontId="3" fillId="0" borderId="2" xfId="57" applyFont="1" applyBorder="1" applyAlignment="1" applyProtection="1">
      <alignment horizontal="right" vertical="center"/>
    </xf>
    <xf numFmtId="164" fontId="2" fillId="0" borderId="2" xfId="57" applyFont="1" applyBorder="1" applyAlignment="1" applyProtection="1">
      <alignment horizontal="right" vertical="center"/>
    </xf>
    <xf numFmtId="164" fontId="3" fillId="0" borderId="4" xfId="57" applyFont="1" applyBorder="1" applyAlignment="1" applyProtection="1">
      <alignment horizontal="right" vertical="center"/>
    </xf>
    <xf numFmtId="168" fontId="2" fillId="0" borderId="3" xfId="57" applyNumberFormat="1" applyFont="1" applyBorder="1" applyAlignment="1">
      <alignment vertical="center"/>
    </xf>
    <xf numFmtId="168" fontId="2" fillId="0" borderId="0" xfId="57" applyNumberFormat="1" applyFont="1" applyAlignment="1">
      <alignment vertical="center"/>
    </xf>
    <xf numFmtId="164" fontId="3" fillId="0" borderId="0" xfId="57" applyFont="1" applyAlignment="1" applyProtection="1">
      <alignment horizontal="right" vertical="center"/>
    </xf>
    <xf numFmtId="164" fontId="2" fillId="0" borderId="0" xfId="57" applyFont="1" applyAlignment="1" applyProtection="1">
      <alignment horizontal="right" vertical="center"/>
    </xf>
    <xf numFmtId="164" fontId="3" fillId="0" borderId="0" xfId="57" applyFont="1" applyBorder="1" applyAlignment="1" applyProtection="1">
      <alignment horizontal="right" vertical="center"/>
    </xf>
    <xf numFmtId="164" fontId="3" fillId="0" borderId="5" xfId="57" applyFont="1" applyBorder="1" applyAlignment="1" applyProtection="1">
      <alignment horizontal="right" vertical="center"/>
    </xf>
    <xf numFmtId="164" fontId="2" fillId="0" borderId="0" xfId="57" applyFont="1" applyAlignment="1" applyProtection="1">
      <alignment horizontal="left" vertical="center"/>
    </xf>
    <xf numFmtId="168" fontId="7" fillId="0" borderId="0" xfId="57" applyNumberFormat="1" applyFont="1" applyAlignment="1">
      <alignment horizontal="right" vertical="center"/>
    </xf>
    <xf numFmtId="168" fontId="2" fillId="0" borderId="0" xfId="57" applyNumberFormat="1" applyFont="1" applyAlignment="1">
      <alignment horizontal="right" vertical="center"/>
    </xf>
    <xf numFmtId="168" fontId="7" fillId="0" borderId="0" xfId="57" applyNumberFormat="1" applyFont="1" applyBorder="1" applyAlignment="1">
      <alignment horizontal="right" vertical="center"/>
    </xf>
    <xf numFmtId="164" fontId="7" fillId="0" borderId="5" xfId="57" applyFont="1" applyBorder="1" applyAlignment="1">
      <alignment horizontal="right" vertical="center"/>
    </xf>
    <xf numFmtId="164" fontId="2" fillId="0" borderId="2" xfId="57" applyFont="1" applyBorder="1" applyAlignment="1" applyProtection="1">
      <alignment horizontal="left" vertical="center"/>
    </xf>
    <xf numFmtId="166" fontId="2" fillId="0" borderId="2" xfId="57" applyNumberFormat="1" applyFont="1" applyBorder="1" applyAlignment="1" applyProtection="1">
      <alignment vertical="center"/>
    </xf>
    <xf numFmtId="165" fontId="2" fillId="0" borderId="2" xfId="57" applyNumberFormat="1" applyFont="1" applyBorder="1" applyAlignment="1" applyProtection="1">
      <alignment vertical="center"/>
    </xf>
    <xf numFmtId="166" fontId="2" fillId="0" borderId="4" xfId="57" applyNumberFormat="1" applyFont="1" applyBorder="1" applyAlignment="1" applyProtection="1">
      <alignment vertical="center"/>
    </xf>
    <xf numFmtId="164" fontId="2" fillId="0" borderId="3" xfId="57" applyFont="1" applyBorder="1" applyAlignment="1" applyProtection="1">
      <alignment horizontal="left" vertical="center"/>
    </xf>
    <xf numFmtId="164" fontId="2" fillId="0" borderId="0" xfId="57" applyFont="1" applyBorder="1" applyAlignment="1" applyProtection="1">
      <alignment horizontal="left" vertical="center"/>
    </xf>
    <xf numFmtId="166" fontId="2" fillId="0" borderId="0" xfId="57" applyNumberFormat="1" applyFont="1" applyBorder="1" applyAlignment="1" applyProtection="1">
      <alignment vertical="center"/>
    </xf>
    <xf numFmtId="165" fontId="2" fillId="0" borderId="0" xfId="57" applyNumberFormat="1" applyFont="1" applyBorder="1" applyAlignment="1" applyProtection="1">
      <alignment vertical="center"/>
    </xf>
    <xf numFmtId="166" fontId="2" fillId="0" borderId="5" xfId="57" applyNumberFormat="1" applyFont="1" applyBorder="1" applyAlignment="1" applyProtection="1">
      <alignment vertical="center"/>
    </xf>
    <xf numFmtId="165" fontId="2" fillId="0" borderId="0" xfId="57" applyNumberFormat="1" applyFont="1" applyBorder="1" applyAlignment="1" applyProtection="1">
      <alignment horizontal="right" vertical="center"/>
    </xf>
    <xf numFmtId="164" fontId="2" fillId="0" borderId="6" xfId="57" applyFont="1" applyBorder="1" applyAlignment="1" applyProtection="1">
      <alignment horizontal="left" vertical="center"/>
    </xf>
    <xf numFmtId="164" fontId="2" fillId="0" borderId="7" xfId="57" applyFont="1" applyBorder="1" applyAlignment="1" applyProtection="1">
      <alignment horizontal="left" vertical="center"/>
    </xf>
    <xf numFmtId="166" fontId="2" fillId="0" borderId="7" xfId="57" applyNumberFormat="1" applyFont="1" applyBorder="1" applyAlignment="1" applyProtection="1">
      <alignment vertical="center"/>
    </xf>
    <xf numFmtId="166" fontId="2" fillId="0" borderId="8" xfId="57" applyNumberFormat="1" applyFont="1" applyBorder="1" applyAlignment="1" applyProtection="1">
      <alignment vertical="center"/>
    </xf>
    <xf numFmtId="164" fontId="3" fillId="0" borderId="9" xfId="57" applyFont="1" applyBorder="1" applyAlignment="1" applyProtection="1">
      <alignment horizontal="left" vertical="center"/>
    </xf>
    <xf numFmtId="166" fontId="3" fillId="0" borderId="11" xfId="57" applyNumberFormat="1" applyFont="1" applyBorder="1" applyAlignment="1" applyProtection="1">
      <alignment vertical="center"/>
    </xf>
    <xf numFmtId="164" fontId="2" fillId="0" borderId="1" xfId="57" applyFont="1" applyBorder="1" applyAlignment="1">
      <alignment vertical="center"/>
    </xf>
    <xf numFmtId="164" fontId="2" fillId="0" borderId="2" xfId="57" applyFont="1" applyBorder="1" applyAlignment="1">
      <alignment vertical="center"/>
    </xf>
    <xf numFmtId="164" fontId="2" fillId="0" borderId="3" xfId="57" applyFont="1" applyBorder="1" applyAlignment="1">
      <alignment vertical="center"/>
    </xf>
    <xf numFmtId="164" fontId="2" fillId="0" borderId="0" xfId="57" applyFont="1" applyBorder="1" applyAlignment="1">
      <alignment vertical="center"/>
    </xf>
    <xf numFmtId="164" fontId="2" fillId="0" borderId="3" xfId="57" quotePrefix="1" applyFont="1" applyBorder="1" applyAlignment="1">
      <alignment vertical="center"/>
    </xf>
    <xf numFmtId="164" fontId="2" fillId="0" borderId="3" xfId="57" quotePrefix="1" applyFont="1" applyBorder="1" applyAlignment="1">
      <alignment horizontal="left" vertical="center"/>
    </xf>
    <xf numFmtId="164" fontId="2" fillId="0" borderId="6" xfId="57" applyFont="1" applyBorder="1" applyAlignment="1">
      <alignment vertical="center"/>
    </xf>
    <xf numFmtId="164" fontId="2" fillId="0" borderId="7" xfId="57" applyFont="1" applyBorder="1" applyAlignment="1">
      <alignment vertical="center"/>
    </xf>
    <xf numFmtId="164" fontId="3" fillId="0" borderId="9" xfId="57" applyFont="1" applyBorder="1" applyAlignment="1">
      <alignment vertical="center"/>
    </xf>
    <xf numFmtId="165" fontId="3" fillId="0" borderId="2" xfId="57" applyNumberFormat="1" applyFont="1" applyBorder="1" applyAlignment="1" applyProtection="1">
      <alignment vertical="center"/>
    </xf>
    <xf numFmtId="164" fontId="3" fillId="2" borderId="3" xfId="57" quotePrefix="1" applyFont="1" applyFill="1" applyBorder="1" applyAlignment="1">
      <alignment vertical="center"/>
    </xf>
    <xf numFmtId="164" fontId="3" fillId="2" borderId="0" xfId="57" applyFont="1" applyFill="1" applyAlignment="1">
      <alignment vertical="center"/>
    </xf>
    <xf numFmtId="166" fontId="3" fillId="2" borderId="0" xfId="57" applyNumberFormat="1" applyFont="1" applyFill="1" applyAlignment="1" applyProtection="1">
      <alignment vertical="center"/>
    </xf>
    <xf numFmtId="166" fontId="3" fillId="2" borderId="0" xfId="57" applyNumberFormat="1" applyFont="1" applyFill="1" applyBorder="1" applyAlignment="1" applyProtection="1">
      <alignment vertical="center"/>
    </xf>
    <xf numFmtId="168" fontId="3" fillId="2" borderId="0" xfId="57" applyNumberFormat="1" applyFont="1" applyFill="1" applyBorder="1" applyAlignment="1" applyProtection="1">
      <alignment vertical="center"/>
    </xf>
    <xf numFmtId="166" fontId="3" fillId="2" borderId="5" xfId="57" applyNumberFormat="1" applyFont="1" applyFill="1" applyBorder="1" applyAlignment="1" applyProtection="1">
      <alignment vertical="center"/>
    </xf>
    <xf numFmtId="168" fontId="2" fillId="0" borderId="1" xfId="57" applyNumberFormat="1" applyFont="1" applyBorder="1" applyAlignment="1">
      <alignment vertical="center"/>
    </xf>
    <xf numFmtId="168" fontId="2" fillId="0" borderId="2" xfId="57" applyNumberFormat="1" applyFont="1" applyBorder="1" applyAlignment="1" applyProtection="1">
      <alignment vertical="center"/>
    </xf>
    <xf numFmtId="168" fontId="2" fillId="0" borderId="0" xfId="57" applyNumberFormat="1" applyFont="1" applyBorder="1" applyAlignment="1" applyProtection="1">
      <alignment vertical="center"/>
    </xf>
    <xf numFmtId="168" fontId="2" fillId="0" borderId="4" xfId="57" applyNumberFormat="1" applyFont="1" applyBorder="1" applyAlignment="1" applyProtection="1">
      <alignment vertical="center"/>
    </xf>
    <xf numFmtId="164" fontId="3" fillId="2" borderId="6" xfId="57" applyFont="1" applyFill="1" applyBorder="1" applyAlignment="1">
      <alignment vertical="center"/>
    </xf>
    <xf numFmtId="164" fontId="3" fillId="2" borderId="7" xfId="57" applyFont="1" applyFill="1" applyBorder="1" applyAlignment="1">
      <alignment vertical="center"/>
    </xf>
    <xf numFmtId="166" fontId="3" fillId="2" borderId="7" xfId="57" applyNumberFormat="1" applyFont="1" applyFill="1" applyBorder="1" applyAlignment="1" applyProtection="1">
      <alignment vertical="center"/>
    </xf>
    <xf numFmtId="165" fontId="3" fillId="2" borderId="7" xfId="57" applyNumberFormat="1" applyFont="1" applyFill="1" applyBorder="1" applyAlignment="1" applyProtection="1">
      <alignment vertical="center"/>
    </xf>
    <xf numFmtId="166" fontId="3" fillId="2" borderId="8" xfId="57" applyNumberFormat="1" applyFont="1" applyFill="1" applyBorder="1" applyAlignment="1" applyProtection="1">
      <alignment vertical="center"/>
    </xf>
    <xf numFmtId="168" fontId="2" fillId="0" borderId="6" xfId="57" applyNumberFormat="1" applyFont="1" applyBorder="1" applyAlignment="1">
      <alignment vertical="center"/>
    </xf>
    <xf numFmtId="165" fontId="2" fillId="0" borderId="7" xfId="57" applyNumberFormat="1" applyFont="1" applyBorder="1" applyAlignment="1" applyProtection="1">
      <alignment vertical="center"/>
    </xf>
    <xf numFmtId="165" fontId="2" fillId="0" borderId="7" xfId="57" applyNumberFormat="1" applyFont="1" applyBorder="1" applyAlignment="1">
      <alignment horizontal="right" vertical="center"/>
    </xf>
    <xf numFmtId="168" fontId="2" fillId="0" borderId="7" xfId="57" applyNumberFormat="1" applyFont="1" applyBorder="1" applyAlignment="1">
      <alignment vertical="center"/>
    </xf>
    <xf numFmtId="168" fontId="2" fillId="0" borderId="7" xfId="57" applyNumberFormat="1" applyFont="1" applyBorder="1" applyAlignment="1">
      <alignment horizontal="right" vertical="center"/>
    </xf>
    <xf numFmtId="165" fontId="2" fillId="0" borderId="8" xfId="57" applyNumberFormat="1" applyFont="1" applyBorder="1" applyAlignment="1">
      <alignment horizontal="right" vertical="center"/>
    </xf>
    <xf numFmtId="164" fontId="2" fillId="0" borderId="0" xfId="57"/>
    <xf numFmtId="165" fontId="5" fillId="0" borderId="98" xfId="57" quotePrefix="1" applyNumberFormat="1" applyFont="1" applyBorder="1" applyAlignment="1">
      <alignment horizontal="right" vertical="center"/>
    </xf>
    <xf numFmtId="169" fontId="5" fillId="0" borderId="67" xfId="57" applyNumberFormat="1" applyFont="1" applyBorder="1" applyAlignment="1">
      <alignment vertical="center"/>
    </xf>
    <xf numFmtId="169" fontId="5" fillId="0" borderId="21" xfId="57" applyNumberFormat="1" applyFont="1" applyBorder="1" applyAlignment="1">
      <alignment vertical="center"/>
    </xf>
    <xf numFmtId="165" fontId="5" fillId="0" borderId="97" xfId="57" quotePrefix="1" applyNumberFormat="1" applyFont="1" applyBorder="1" applyAlignment="1">
      <alignment horizontal="right" vertical="center"/>
    </xf>
    <xf numFmtId="169" fontId="5" fillId="0" borderId="96" xfId="57" applyNumberFormat="1" applyFont="1" applyBorder="1" applyAlignment="1">
      <alignment horizontal="right" vertical="center"/>
    </xf>
    <xf numFmtId="169" fontId="5" fillId="0" borderId="34" xfId="57" applyNumberFormat="1" applyFont="1" applyBorder="1" applyAlignment="1">
      <alignment horizontal="right" vertical="center"/>
    </xf>
    <xf numFmtId="165" fontId="5" fillId="0" borderId="99" xfId="57" applyNumberFormat="1" applyFont="1" applyBorder="1" applyAlignment="1">
      <alignment vertical="center"/>
    </xf>
    <xf numFmtId="38" fontId="5" fillId="0" borderId="90" xfId="57" applyNumberFormat="1" applyFont="1" applyBorder="1" applyAlignment="1">
      <alignment vertical="center"/>
    </xf>
    <xf numFmtId="38" fontId="5" fillId="0" borderId="41" xfId="57" applyNumberFormat="1" applyFont="1" applyBorder="1" applyAlignment="1">
      <alignment vertical="center"/>
    </xf>
    <xf numFmtId="38" fontId="5" fillId="0" borderId="67" xfId="57" quotePrefix="1" applyNumberFormat="1" applyFont="1" applyBorder="1" applyAlignment="1">
      <alignment vertical="center"/>
    </xf>
    <xf numFmtId="38" fontId="5" fillId="0" borderId="67" xfId="57" applyNumberFormat="1" applyFont="1" applyBorder="1" applyAlignment="1">
      <alignment horizontal="right" vertical="center"/>
    </xf>
    <xf numFmtId="165" fontId="5" fillId="0" borderId="98" xfId="57" applyNumberFormat="1" applyFont="1" applyBorder="1" applyAlignment="1">
      <alignment horizontal="right" vertical="center"/>
    </xf>
    <xf numFmtId="165" fontId="5" fillId="0" borderId="98" xfId="57" applyNumberFormat="1" applyFont="1" applyBorder="1" applyAlignment="1">
      <alignment vertical="center"/>
    </xf>
    <xf numFmtId="38" fontId="5" fillId="0" borderId="67" xfId="57" applyNumberFormat="1" applyFont="1" applyBorder="1" applyAlignment="1">
      <alignment vertical="center"/>
    </xf>
    <xf numFmtId="38" fontId="5" fillId="0" borderId="21" xfId="57" applyNumberFormat="1" applyFont="1" applyBorder="1" applyAlignment="1">
      <alignment vertical="center"/>
    </xf>
    <xf numFmtId="38" fontId="5" fillId="0" borderId="96" xfId="57" applyNumberFormat="1" applyFont="1" applyBorder="1" applyAlignment="1">
      <alignment horizontal="right" vertical="center"/>
    </xf>
    <xf numFmtId="38" fontId="5" fillId="0" borderId="34" xfId="57" applyNumberFormat="1" applyFont="1" applyBorder="1" applyAlignment="1">
      <alignment horizontal="right" vertical="center"/>
    </xf>
    <xf numFmtId="38" fontId="5" fillId="0" borderId="21" xfId="57" applyNumberFormat="1" applyFont="1" applyBorder="1" applyAlignment="1">
      <alignment horizontal="right" vertical="center"/>
    </xf>
    <xf numFmtId="165" fontId="5" fillId="0" borderId="108" xfId="0" applyNumberFormat="1" applyFont="1" applyBorder="1" applyAlignment="1">
      <alignment vertical="center"/>
    </xf>
    <xf numFmtId="169" fontId="5" fillId="0" borderId="95" xfId="0" applyNumberFormat="1" applyFont="1" applyBorder="1" applyAlignment="1">
      <alignment vertical="center"/>
    </xf>
    <xf numFmtId="169" fontId="5" fillId="0" borderId="107" xfId="0" applyNumberFormat="1" applyFont="1" applyBorder="1" applyAlignment="1">
      <alignment vertical="center"/>
    </xf>
    <xf numFmtId="164" fontId="5" fillId="0" borderId="106" xfId="0" applyFont="1" applyBorder="1" applyAlignment="1">
      <alignment vertical="center"/>
    </xf>
    <xf numFmtId="165" fontId="5" fillId="0" borderId="105" xfId="57" applyNumberFormat="1" applyFont="1" applyBorder="1" applyAlignment="1">
      <alignment vertical="center"/>
    </xf>
    <xf numFmtId="38" fontId="5" fillId="0" borderId="104" xfId="57" applyNumberFormat="1" applyFont="1" applyBorder="1" applyAlignment="1">
      <alignment vertical="center"/>
    </xf>
    <xf numFmtId="165" fontId="5" fillId="0" borderId="97" xfId="57" applyNumberFormat="1" applyFont="1" applyBorder="1" applyAlignment="1">
      <alignment horizontal="right" vertical="center"/>
    </xf>
    <xf numFmtId="38" fontId="5" fillId="0" borderId="21" xfId="57" applyNumberFormat="1" applyFont="1" applyBorder="1" applyAlignment="1">
      <alignment horizontal="right" vertical="center"/>
    </xf>
    <xf numFmtId="165" fontId="5" fillId="0" borderId="98" xfId="3" applyNumberFormat="1" applyFont="1" applyBorder="1" applyAlignment="1">
      <alignment horizontal="right" vertical="center"/>
    </xf>
    <xf numFmtId="164" fontId="3" fillId="0" borderId="95" xfId="57" applyFont="1" applyBorder="1" applyAlignment="1" applyProtection="1">
      <alignment horizontal="left" vertical="center"/>
    </xf>
    <xf numFmtId="166" fontId="3" fillId="0" borderId="95" xfId="57" applyNumberFormat="1" applyFont="1" applyBorder="1" applyAlignment="1" applyProtection="1">
      <alignment vertical="center"/>
    </xf>
    <xf numFmtId="165" fontId="2" fillId="0" borderId="95" xfId="57" applyNumberFormat="1" applyFont="1" applyBorder="1" applyAlignment="1" applyProtection="1">
      <alignment vertical="center"/>
    </xf>
    <xf numFmtId="164" fontId="3" fillId="0" borderId="95" xfId="57" applyFont="1" applyBorder="1" applyAlignment="1">
      <alignment vertical="center"/>
    </xf>
    <xf numFmtId="165" fontId="3" fillId="0" borderId="95" xfId="57" applyNumberFormat="1" applyFont="1" applyBorder="1" applyAlignment="1" applyProtection="1">
      <alignment vertical="center"/>
    </xf>
    <xf numFmtId="168" fontId="3" fillId="2" borderId="95" xfId="57" applyNumberFormat="1" applyFont="1" applyFill="1" applyBorder="1" applyAlignment="1" applyProtection="1">
      <alignment horizontal="right" vertical="center"/>
    </xf>
    <xf numFmtId="0" fontId="18" fillId="9" borderId="2" xfId="42" applyFont="1" applyFill="1" applyBorder="1" applyAlignment="1" applyProtection="1">
      <alignment horizontal="left" vertical="center"/>
    </xf>
    <xf numFmtId="0" fontId="2" fillId="9" borderId="2" xfId="42" applyFill="1" applyBorder="1" applyAlignment="1">
      <alignment horizontal="left" vertical="center"/>
    </xf>
    <xf numFmtId="0" fontId="18" fillId="8" borderId="10" xfId="42" applyFont="1" applyFill="1" applyBorder="1" applyAlignment="1" applyProtection="1">
      <alignment horizontal="left" vertical="center"/>
    </xf>
    <xf numFmtId="0" fontId="2" fillId="8" borderId="10" xfId="42" applyFill="1" applyBorder="1" applyAlignment="1">
      <alignment horizontal="left" vertical="center"/>
    </xf>
    <xf numFmtId="0" fontId="17" fillId="0" borderId="0" xfId="42" applyFont="1" applyAlignment="1" applyProtection="1">
      <alignment horizontal="left"/>
    </xf>
    <xf numFmtId="0" fontId="2" fillId="0" borderId="0" xfId="42" applyAlignment="1">
      <alignment horizontal="left"/>
    </xf>
    <xf numFmtId="0" fontId="18" fillId="9" borderId="2" xfId="4" applyFont="1" applyFill="1" applyBorder="1" applyAlignment="1" applyProtection="1">
      <alignment horizontal="left" vertical="center"/>
    </xf>
    <xf numFmtId="0" fontId="2" fillId="9" borderId="2" xfId="4" applyFill="1" applyBorder="1" applyAlignment="1">
      <alignment horizontal="left" vertical="center"/>
    </xf>
    <xf numFmtId="0" fontId="18" fillId="8" borderId="10" xfId="4" applyFont="1" applyFill="1" applyBorder="1" applyAlignment="1" applyProtection="1">
      <alignment horizontal="left" vertical="center"/>
    </xf>
    <xf numFmtId="0" fontId="2" fillId="8" borderId="10" xfId="4" applyFill="1" applyBorder="1" applyAlignment="1">
      <alignment horizontal="left" vertical="center"/>
    </xf>
    <xf numFmtId="164" fontId="13" fillId="0" borderId="32" xfId="0" applyFont="1" applyBorder="1" applyAlignment="1">
      <alignment horizontal="center" vertical="top" wrapText="1"/>
    </xf>
    <xf numFmtId="164" fontId="13" fillId="0" borderId="0" xfId="0" applyFont="1" applyBorder="1" applyAlignment="1">
      <alignment horizontal="center" vertical="top" wrapText="1"/>
    </xf>
    <xf numFmtId="164" fontId="0" fillId="0" borderId="0" xfId="0" applyBorder="1" applyAlignment="1">
      <alignment horizontal="center" vertical="top"/>
    </xf>
  </cellXfs>
  <cellStyles count="116">
    <cellStyle name="20% - Akzent1" xfId="7"/>
    <cellStyle name="20% - Akzent2" xfId="8"/>
    <cellStyle name="20% - Akzent3" xfId="9"/>
    <cellStyle name="20% - Akzent4" xfId="10"/>
    <cellStyle name="20% - Akzent5" xfId="11"/>
    <cellStyle name="20% - Akzent6" xfId="12"/>
    <cellStyle name="40% - Akzent1" xfId="13"/>
    <cellStyle name="40% - Akzent2" xfId="14"/>
    <cellStyle name="40% - Akzent3" xfId="15"/>
    <cellStyle name="40% - Akzent4" xfId="16"/>
    <cellStyle name="40% - Akzent5" xfId="17"/>
    <cellStyle name="40% - Akzent6" xfId="18"/>
    <cellStyle name="60% - Akzent1" xfId="19"/>
    <cellStyle name="60% - Akzent2" xfId="20"/>
    <cellStyle name="60% - Akzent3" xfId="21"/>
    <cellStyle name="60% - Akzent4" xfId="22"/>
    <cellStyle name="60% - Akzent5" xfId="23"/>
    <cellStyle name="60% - Akzent6" xfId="24"/>
    <cellStyle name="Akzent1 2" xfId="25"/>
    <cellStyle name="Akzent1 3" xfId="60"/>
    <cellStyle name="Akzent2 2" xfId="26"/>
    <cellStyle name="Akzent2 3" xfId="61"/>
    <cellStyle name="Akzent3 2" xfId="27"/>
    <cellStyle name="Akzent3 3" xfId="63"/>
    <cellStyle name="Akzent4 2" xfId="28"/>
    <cellStyle name="Akzent4 3" xfId="65"/>
    <cellStyle name="Akzent5 2" xfId="29"/>
    <cellStyle name="Akzent5 3" xfId="66"/>
    <cellStyle name="Akzent6 2" xfId="30"/>
    <cellStyle name="Akzent6 3" xfId="67"/>
    <cellStyle name="Ausgabe 2" xfId="31"/>
    <cellStyle name="Ausgabe 2 2" xfId="97"/>
    <cellStyle name="Ausgabe 2 3" xfId="106"/>
    <cellStyle name="Ausgabe 3" xfId="68"/>
    <cellStyle name="Ausgabe 3 2" xfId="96"/>
    <cellStyle name="Ausgabe 3 3" xfId="101"/>
    <cellStyle name="Berechnung 2" xfId="32"/>
    <cellStyle name="Berechnung 2 2" xfId="86"/>
    <cellStyle name="Berechnung 2 3" xfId="100"/>
    <cellStyle name="Berechnung 3" xfId="69"/>
    <cellStyle name="Berechnung 3 2" xfId="58"/>
    <cellStyle name="Berechnung 3 3" xfId="99"/>
    <cellStyle name="Dezimal 2" xfId="71"/>
    <cellStyle name="Eingabe 2" xfId="33"/>
    <cellStyle name="Eingabe 2 2" xfId="84"/>
    <cellStyle name="Eingabe 2 3" xfId="70"/>
    <cellStyle name="Eingabe 3" xfId="72"/>
    <cellStyle name="Eingabe 3 2" xfId="82"/>
    <cellStyle name="Eingabe 3 3" xfId="77"/>
    <cellStyle name="Ergebnis 2" xfId="34"/>
    <cellStyle name="Ergebnis 2 2" xfId="81"/>
    <cellStyle name="Ergebnis 2 3" xfId="75"/>
    <cellStyle name="Ergebnis 3" xfId="74"/>
    <cellStyle name="Ergebnis 3 2" xfId="79"/>
    <cellStyle name="Ergebnis 3 3" xfId="73"/>
    <cellStyle name="Erklärender Text 2" xfId="35"/>
    <cellStyle name="Erklärender Text 3" xfId="76"/>
    <cellStyle name="Gut 2" xfId="36"/>
    <cellStyle name="Gut 3" xfId="78"/>
    <cellStyle name="Komma" xfId="1" builtinId="3"/>
    <cellStyle name="Komma 2" xfId="5"/>
    <cellStyle name="Neutral 2" xfId="37"/>
    <cellStyle name="Neutral 3" xfId="80"/>
    <cellStyle name="Normal_C 1999 - B 2000 (NOUVEAU)" xfId="2"/>
    <cellStyle name="Normal_GEFI BROCHURE DU BUDGET" xfId="38"/>
    <cellStyle name="Notiz 2" xfId="39"/>
    <cellStyle name="Notiz 2 2" xfId="64"/>
    <cellStyle name="Notiz 2 3" xfId="59"/>
    <cellStyle name="Notiz 3" xfId="83"/>
    <cellStyle name="Notiz 3 2" xfId="62"/>
    <cellStyle name="Notiz 3 3" xfId="115"/>
    <cellStyle name="Prozent" xfId="3" builtinId="5"/>
    <cellStyle name="Prozent 2" xfId="6"/>
    <cellStyle name="Schlecht 2" xfId="40"/>
    <cellStyle name="Schlecht 3" xfId="85"/>
    <cellStyle name="St0" xfId="41"/>
    <cellStyle name="Standard" xfId="0" builtinId="0"/>
    <cellStyle name="Standard 10" xfId="42"/>
    <cellStyle name="Standard 11" xfId="87"/>
    <cellStyle name="Standard 12" xfId="88"/>
    <cellStyle name="Standard 13" xfId="89"/>
    <cellStyle name="Standard 14" xfId="90"/>
    <cellStyle name="Standard 15" xfId="91"/>
    <cellStyle name="Standard 16" xfId="92"/>
    <cellStyle name="Standard 17" xfId="93"/>
    <cellStyle name="Standard 18" xfId="94"/>
    <cellStyle name="Standard 19" xfId="95"/>
    <cellStyle name="Standard 2" xfId="4"/>
    <cellStyle name="Standard 2 2" xfId="43"/>
    <cellStyle name="Standard 20" xfId="98"/>
    <cellStyle name="Standard 3" xfId="44"/>
    <cellStyle name="Standard 3 2" xfId="45"/>
    <cellStyle name="Standard 4" xfId="46"/>
    <cellStyle name="Standard 5" xfId="47"/>
    <cellStyle name="Standard 6" xfId="57"/>
    <cellStyle name="Standard 6 2" xfId="102"/>
    <cellStyle name="Standard 7" xfId="103"/>
    <cellStyle name="Standard 8" xfId="104"/>
    <cellStyle name="Standard 9" xfId="105"/>
    <cellStyle name="Titel3" xfId="48"/>
    <cellStyle name="Überschrift 1 2" xfId="49"/>
    <cellStyle name="Überschrift 1 3" xfId="107"/>
    <cellStyle name="Überschrift 2 2" xfId="50"/>
    <cellStyle name="Überschrift 2 3" xfId="108"/>
    <cellStyle name="Überschrift 3 2" xfId="51"/>
    <cellStyle name="Überschrift 3 3" xfId="109"/>
    <cellStyle name="Überschrift 4 2" xfId="52"/>
    <cellStyle name="Überschrift 4 3" xfId="110"/>
    <cellStyle name="Überschrift 5" xfId="53"/>
    <cellStyle name="Überschrift 6" xfId="111"/>
    <cellStyle name="Verknüpfte Zelle 2" xfId="54"/>
    <cellStyle name="Verknüpfte Zelle 3" xfId="112"/>
    <cellStyle name="Warnender Text 2" xfId="55"/>
    <cellStyle name="Warnender Text 3" xfId="113"/>
    <cellStyle name="Zelle überprüfen 2" xfId="56"/>
    <cellStyle name="Zelle überprüfen 3" xfId="11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V/300-KRW/FKF/Kantone%20Finanzzahlen/FkF%2026%20%20Kantone%20R13-B14-R14-B15%20Bas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iz"/>
      <sheetName val="ZH"/>
      <sheetName val="BE"/>
      <sheetName val="LU"/>
      <sheetName val="UR"/>
      <sheetName val="SZ"/>
      <sheetName val="OW"/>
      <sheetName val="NW"/>
      <sheetName val="GL"/>
      <sheetName val="ZG"/>
      <sheetName val="FR"/>
      <sheetName val="SO"/>
      <sheetName val="BS"/>
      <sheetName val="BL"/>
      <sheetName val="SH"/>
      <sheetName val="AR"/>
      <sheetName val="AI"/>
      <sheetName val="SG"/>
      <sheetName val="GR"/>
      <sheetName val="AG"/>
      <sheetName val="TG"/>
      <sheetName val="TI"/>
      <sheetName val="VD"/>
      <sheetName val="VS"/>
      <sheetName val="NE"/>
      <sheetName val="GE"/>
      <sheetName val="JU"/>
      <sheetName val="CHF"/>
      <sheetName val="CHD"/>
      <sheetName val="Ergebnisse Rechnung 2013"/>
      <sheetName val="Ergebnisse Budgets 2014"/>
      <sheetName val="Ergebnisse Rechnung 2014"/>
      <sheetName val="Budget 2015"/>
      <sheetName val="Übersicht Saldo L. R. "/>
      <sheetName val="Finanzierungsfehlbetrag"/>
      <sheetName val="Selbstfinanzierungsgra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 refreshError="1"/>
      <sheetData sheetId="33" refreshError="1"/>
      <sheetData sheetId="34" refreshError="1"/>
      <sheetData sheetId="35" refreshError="1"/>
    </sheetDataSet>
  </externalBook>
</externalLink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3">
    <tabColor rgb="FF00B050"/>
  </sheetPr>
  <dimension ref="A1:AJ186"/>
  <sheetViews>
    <sheetView zoomScale="115" zoomScaleNormal="115" workbookViewId="0">
      <selection activeCell="H27" sqref="H27"/>
    </sheetView>
  </sheetViews>
  <sheetFormatPr baseColWidth="10" defaultColWidth="11.42578125" defaultRowHeight="12.75"/>
  <cols>
    <col min="1" max="1" width="17.140625" style="470" customWidth="1"/>
    <col min="2" max="2" width="1.7109375" style="470" customWidth="1"/>
    <col min="3" max="3" width="44.7109375" style="470" customWidth="1"/>
    <col min="4" max="4" width="11.42578125" style="470" customWidth="1"/>
    <col min="5" max="5" width="11.42578125" style="470"/>
    <col min="6" max="6" width="11.42578125" style="470" customWidth="1"/>
    <col min="7" max="16384" width="11.42578125" style="470"/>
  </cols>
  <sheetData>
    <row r="1" spans="1:36" s="642" customFormat="1" ht="18" customHeight="1">
      <c r="A1" s="647" t="s">
        <v>258</v>
      </c>
      <c r="B1" s="646" t="s">
        <v>262</v>
      </c>
      <c r="C1" s="645" t="s">
        <v>261</v>
      </c>
      <c r="D1" s="643" t="s">
        <v>255</v>
      </c>
      <c r="E1" s="644" t="s">
        <v>254</v>
      </c>
      <c r="F1" s="643" t="s">
        <v>255</v>
      </c>
      <c r="G1" s="644" t="s">
        <v>254</v>
      </c>
      <c r="H1" s="608"/>
      <c r="I1" s="608"/>
      <c r="J1" s="608"/>
      <c r="K1" s="608"/>
      <c r="L1" s="608"/>
      <c r="M1" s="608"/>
      <c r="N1" s="608"/>
      <c r="O1" s="608"/>
      <c r="P1" s="608"/>
      <c r="Q1" s="608"/>
      <c r="R1" s="608"/>
      <c r="S1" s="608"/>
      <c r="T1" s="608"/>
      <c r="U1" s="608"/>
      <c r="V1" s="608"/>
      <c r="W1" s="608"/>
      <c r="X1" s="608"/>
      <c r="Y1" s="608"/>
      <c r="Z1" s="608"/>
      <c r="AA1" s="608"/>
      <c r="AB1" s="608"/>
      <c r="AC1" s="608"/>
      <c r="AD1" s="608"/>
      <c r="AE1" s="608"/>
      <c r="AF1" s="608"/>
      <c r="AG1" s="608"/>
      <c r="AH1" s="608"/>
      <c r="AI1" s="608"/>
      <c r="AJ1" s="608"/>
    </row>
    <row r="2" spans="1:36" s="636" customFormat="1" ht="15" customHeight="1">
      <c r="A2" s="641"/>
      <c r="B2" s="640"/>
      <c r="C2" s="639" t="s">
        <v>253</v>
      </c>
      <c r="D2" s="637">
        <v>2013</v>
      </c>
      <c r="E2" s="638">
        <v>2014</v>
      </c>
      <c r="F2" s="637">
        <v>2014</v>
      </c>
      <c r="G2" s="638">
        <v>2015</v>
      </c>
    </row>
    <row r="3" spans="1:36" ht="15" customHeight="1">
      <c r="A3" s="949" t="s">
        <v>252</v>
      </c>
      <c r="B3" s="950"/>
      <c r="C3" s="950"/>
      <c r="E3" s="635" t="s">
        <v>251</v>
      </c>
      <c r="F3" s="635"/>
      <c r="G3" s="635" t="s">
        <v>251</v>
      </c>
    </row>
    <row r="4" spans="1:36" s="480" customFormat="1" ht="12.75" customHeight="1">
      <c r="A4" s="634">
        <v>30</v>
      </c>
      <c r="B4" s="633"/>
      <c r="C4" s="632" t="s">
        <v>250</v>
      </c>
      <c r="D4" s="411">
        <v>4727960.2231999999</v>
      </c>
      <c r="E4" s="840">
        <v>4944121.8540000003</v>
      </c>
      <c r="F4" s="839">
        <v>4958624.9403400002</v>
      </c>
      <c r="G4" s="839">
        <v>5058273.578999999</v>
      </c>
    </row>
    <row r="5" spans="1:36" s="480" customFormat="1" ht="12.75" customHeight="1">
      <c r="A5" s="591">
        <v>31</v>
      </c>
      <c r="B5" s="587"/>
      <c r="C5" s="585" t="s">
        <v>249</v>
      </c>
      <c r="D5" s="362">
        <v>2856763.2608499997</v>
      </c>
      <c r="E5" s="840">
        <v>2972686.1919999998</v>
      </c>
      <c r="F5" s="839">
        <v>2943690.2916999999</v>
      </c>
      <c r="G5" s="839">
        <v>2976696.6282500001</v>
      </c>
    </row>
    <row r="6" spans="1:36" s="480" customFormat="1" ht="12.75" customHeight="1">
      <c r="A6" s="630" t="s">
        <v>248</v>
      </c>
      <c r="B6" s="586"/>
      <c r="C6" s="616" t="s">
        <v>247</v>
      </c>
      <c r="D6" s="362">
        <v>207716.98300000001</v>
      </c>
      <c r="E6" s="321">
        <v>213736.65</v>
      </c>
      <c r="F6" s="839">
        <v>214002.93190999998</v>
      </c>
      <c r="G6" s="839">
        <v>209706.1</v>
      </c>
    </row>
    <row r="7" spans="1:36" s="480" customFormat="1" ht="12.75" customHeight="1">
      <c r="A7" s="630" t="s">
        <v>246</v>
      </c>
      <c r="B7" s="586"/>
      <c r="C7" s="616" t="s">
        <v>245</v>
      </c>
      <c r="D7" s="362">
        <v>3809.96198</v>
      </c>
      <c r="E7" s="321">
        <v>916.6</v>
      </c>
      <c r="F7" s="839">
        <v>-3425.25279</v>
      </c>
      <c r="G7" s="839">
        <v>897</v>
      </c>
    </row>
    <row r="8" spans="1:36" s="480" customFormat="1" ht="12.75" customHeight="1">
      <c r="A8" s="593">
        <v>330</v>
      </c>
      <c r="B8" s="587"/>
      <c r="C8" s="585" t="s">
        <v>244</v>
      </c>
      <c r="D8" s="362">
        <v>457455.2279</v>
      </c>
      <c r="E8" s="316">
        <v>460653.49</v>
      </c>
      <c r="F8" s="839">
        <v>503685.37785000005</v>
      </c>
      <c r="G8" s="839">
        <v>461127.44199999998</v>
      </c>
    </row>
    <row r="9" spans="1:36" s="480" customFormat="1" ht="12.75" customHeight="1">
      <c r="A9" s="593">
        <v>332</v>
      </c>
      <c r="B9" s="587"/>
      <c r="C9" s="585" t="s">
        <v>243</v>
      </c>
      <c r="D9" s="362">
        <v>25865.21572</v>
      </c>
      <c r="E9" s="316">
        <v>25828.402999999998</v>
      </c>
      <c r="F9" s="839">
        <v>27564.754710000001</v>
      </c>
      <c r="G9" s="839">
        <v>27300.524000000001</v>
      </c>
    </row>
    <row r="10" spans="1:36" s="480" customFormat="1" ht="12.75" customHeight="1">
      <c r="A10" s="593">
        <v>339</v>
      </c>
      <c r="B10" s="587"/>
      <c r="C10" s="585" t="s">
        <v>242</v>
      </c>
      <c r="D10" s="362">
        <v>0</v>
      </c>
      <c r="E10" s="316">
        <v>0</v>
      </c>
      <c r="F10" s="839">
        <v>0</v>
      </c>
      <c r="G10" s="839">
        <v>0</v>
      </c>
    </row>
    <row r="11" spans="1:36" s="480" customFormat="1" ht="12.75" customHeight="1">
      <c r="A11" s="591">
        <v>350</v>
      </c>
      <c r="B11" s="587"/>
      <c r="C11" s="585" t="s">
        <v>241</v>
      </c>
      <c r="D11" s="362">
        <v>55525.049079999997</v>
      </c>
      <c r="E11" s="316">
        <v>31780.174999999999</v>
      </c>
      <c r="F11" s="839">
        <v>41408.952219999999</v>
      </c>
      <c r="G11" s="839">
        <v>7167.8</v>
      </c>
    </row>
    <row r="12" spans="1:36" s="579" customFormat="1">
      <c r="A12" s="597">
        <v>351</v>
      </c>
      <c r="B12" s="596"/>
      <c r="C12" s="589" t="s">
        <v>240</v>
      </c>
      <c r="D12" s="362">
        <v>35368.328130000002</v>
      </c>
      <c r="E12" s="625">
        <v>25265</v>
      </c>
      <c r="F12" s="839">
        <v>17754.986649999999</v>
      </c>
      <c r="G12" s="839">
        <v>9478</v>
      </c>
    </row>
    <row r="13" spans="1:36" s="480" customFormat="1" ht="12.75" customHeight="1">
      <c r="A13" s="591">
        <v>36</v>
      </c>
      <c r="B13" s="587"/>
      <c r="C13" s="585" t="s">
        <v>239</v>
      </c>
      <c r="D13" s="362">
        <v>5246448.0929700006</v>
      </c>
      <c r="E13" s="840">
        <v>5330363.2910000002</v>
      </c>
      <c r="F13" s="839">
        <v>5145992.1653699996</v>
      </c>
      <c r="G13" s="839">
        <v>5449901.9680000003</v>
      </c>
    </row>
    <row r="14" spans="1:36" s="480" customFormat="1">
      <c r="A14" s="629" t="s">
        <v>238</v>
      </c>
      <c r="B14" s="587"/>
      <c r="C14" s="627" t="s">
        <v>237</v>
      </c>
      <c r="D14" s="439">
        <v>620336.25003</v>
      </c>
      <c r="E14" s="840">
        <v>545493.6</v>
      </c>
      <c r="F14" s="850">
        <v>601131.44683000003</v>
      </c>
      <c r="G14" s="850">
        <v>555471.69999999995</v>
      </c>
    </row>
    <row r="15" spans="1:36" s="480" customFormat="1">
      <c r="A15" s="629" t="s">
        <v>236</v>
      </c>
      <c r="B15" s="587"/>
      <c r="C15" s="627" t="s">
        <v>235</v>
      </c>
      <c r="D15" s="439">
        <v>210277.66071999999</v>
      </c>
      <c r="E15" s="321">
        <v>226242</v>
      </c>
      <c r="F15" s="850">
        <v>147283.16052999999</v>
      </c>
      <c r="G15" s="850">
        <v>236902.5</v>
      </c>
    </row>
    <row r="16" spans="1:36" s="626" customFormat="1" ht="26.25" customHeight="1">
      <c r="A16" s="629" t="s">
        <v>234</v>
      </c>
      <c r="B16" s="628"/>
      <c r="C16" s="627" t="s">
        <v>233</v>
      </c>
      <c r="D16" s="444">
        <f>49.059+50+153712.415</f>
        <v>153811.47400000002</v>
      </c>
      <c r="E16" s="840">
        <v>100</v>
      </c>
      <c r="F16" s="851">
        <v>156907.18143</v>
      </c>
      <c r="G16" s="851">
        <v>165607.68799999999</v>
      </c>
    </row>
    <row r="17" spans="1:7" s="622" customFormat="1">
      <c r="A17" s="591">
        <v>37</v>
      </c>
      <c r="B17" s="587"/>
      <c r="C17" s="585" t="s">
        <v>211</v>
      </c>
      <c r="D17" s="362">
        <v>657872.87695000006</v>
      </c>
      <c r="E17" s="430">
        <v>649978.19999999995</v>
      </c>
      <c r="F17" s="839">
        <v>633057.67476999993</v>
      </c>
      <c r="G17" s="839">
        <v>663146.64</v>
      </c>
    </row>
    <row r="18" spans="1:7" s="622" customFormat="1">
      <c r="A18" s="593" t="s">
        <v>232</v>
      </c>
      <c r="B18" s="587"/>
      <c r="C18" s="585" t="s">
        <v>231</v>
      </c>
      <c r="D18" s="439">
        <v>386354.42679</v>
      </c>
      <c r="E18" s="624">
        <v>391122</v>
      </c>
      <c r="F18" s="850">
        <v>396313.97499999998</v>
      </c>
      <c r="G18" s="850">
        <v>404114</v>
      </c>
    </row>
    <row r="19" spans="1:7" s="622" customFormat="1">
      <c r="A19" s="593" t="s">
        <v>230</v>
      </c>
      <c r="B19" s="587"/>
      <c r="C19" s="585" t="s">
        <v>229</v>
      </c>
      <c r="D19" s="439">
        <v>198342.82053</v>
      </c>
      <c r="E19" s="624">
        <v>207890</v>
      </c>
      <c r="F19" s="850">
        <v>179989.80768999999</v>
      </c>
      <c r="G19" s="850">
        <v>209750</v>
      </c>
    </row>
    <row r="20" spans="1:7" s="480" customFormat="1" ht="12.75" customHeight="1">
      <c r="A20" s="615">
        <v>39</v>
      </c>
      <c r="B20" s="614"/>
      <c r="C20" s="583" t="s">
        <v>228</v>
      </c>
      <c r="D20" s="355"/>
      <c r="E20" s="372">
        <v>0</v>
      </c>
      <c r="F20" s="839">
        <v>0</v>
      </c>
      <c r="G20" s="839">
        <v>0</v>
      </c>
    </row>
    <row r="21" spans="1:7" ht="12.75" customHeight="1">
      <c r="A21" s="578"/>
      <c r="B21" s="578"/>
      <c r="C21" s="576" t="s">
        <v>227</v>
      </c>
      <c r="D21" s="380">
        <f>D4+D5+SUM(D8:D13)+D17</f>
        <v>14063258.274799999</v>
      </c>
      <c r="E21" s="380">
        <f>E4+E5+SUM(E8:E13)+E17</f>
        <v>14440676.605</v>
      </c>
      <c r="F21" s="380">
        <f>F4+F5+SUM(F8:F13)+F17</f>
        <v>14271779.143609999</v>
      </c>
      <c r="G21" s="380">
        <f>G4+G5+SUM(G8:G13)+G17</f>
        <v>14653092.581250001</v>
      </c>
    </row>
    <row r="22" spans="1:7" s="480" customFormat="1" ht="12.75" customHeight="1">
      <c r="A22" s="593" t="s">
        <v>226</v>
      </c>
      <c r="B22" s="587"/>
      <c r="C22" s="585" t="s">
        <v>225</v>
      </c>
      <c r="D22" s="344">
        <f>4611178.82+1098122.031</f>
        <v>5709300.8509999998</v>
      </c>
      <c r="E22" s="369">
        <f>4758499+1210320</f>
        <v>5968819</v>
      </c>
      <c r="F22" s="849">
        <v>5691673.9698700001</v>
      </c>
      <c r="G22" s="849">
        <v>6081239</v>
      </c>
    </row>
    <row r="23" spans="1:7" s="480" customFormat="1" ht="12.75" customHeight="1">
      <c r="A23" s="593" t="s">
        <v>224</v>
      </c>
      <c r="B23" s="587"/>
      <c r="C23" s="585" t="s">
        <v>223</v>
      </c>
      <c r="D23" s="344">
        <f>224796.317+313279.777</f>
        <v>538076.09400000004</v>
      </c>
      <c r="E23" s="369">
        <f>215600+307300</f>
        <v>522900</v>
      </c>
      <c r="F23" s="849">
        <v>614696.37309999997</v>
      </c>
      <c r="G23" s="849">
        <v>559950</v>
      </c>
    </row>
    <row r="24" spans="1:7" s="621" customFormat="1" ht="12.75" customHeight="1">
      <c r="A24" s="591">
        <v>41</v>
      </c>
      <c r="B24" s="587"/>
      <c r="C24" s="585" t="s">
        <v>222</v>
      </c>
      <c r="D24" s="344">
        <v>200029.33756000001</v>
      </c>
      <c r="E24" s="369">
        <v>196229</v>
      </c>
      <c r="F24" s="849">
        <v>85588.66412999999</v>
      </c>
      <c r="G24" s="849">
        <v>191833</v>
      </c>
    </row>
    <row r="25" spans="1:7" s="480" customFormat="1" ht="12.75" customHeight="1">
      <c r="A25" s="620">
        <v>42</v>
      </c>
      <c r="B25" s="619"/>
      <c r="C25" s="585" t="s">
        <v>221</v>
      </c>
      <c r="D25" s="318">
        <v>2641740.3860300002</v>
      </c>
      <c r="E25" s="369">
        <v>2749027.5989999999</v>
      </c>
      <c r="F25" s="257">
        <v>2805375.6884099999</v>
      </c>
      <c r="G25" s="257">
        <v>2822631.932</v>
      </c>
    </row>
    <row r="26" spans="1:7" s="618" customFormat="1" ht="12.75" customHeight="1">
      <c r="A26" s="597">
        <v>430</v>
      </c>
      <c r="B26" s="587"/>
      <c r="C26" s="585" t="s">
        <v>220</v>
      </c>
      <c r="D26" s="433">
        <v>254693.63738999999</v>
      </c>
      <c r="E26" s="432">
        <v>156230.6</v>
      </c>
      <c r="F26" s="848">
        <v>257818.94284999999</v>
      </c>
      <c r="G26" s="848">
        <v>166057.9</v>
      </c>
    </row>
    <row r="27" spans="1:7" s="618" customFormat="1" ht="12.75" customHeight="1">
      <c r="A27" s="597">
        <v>431</v>
      </c>
      <c r="B27" s="587"/>
      <c r="C27" s="585" t="s">
        <v>219</v>
      </c>
      <c r="D27" s="433">
        <v>12608.366840000001</v>
      </c>
      <c r="E27" s="432">
        <v>8615</v>
      </c>
      <c r="F27" s="848">
        <v>13135.081910000001</v>
      </c>
      <c r="G27" s="848">
        <v>8839.7000000000007</v>
      </c>
    </row>
    <row r="28" spans="1:7" s="618" customFormat="1" ht="12.75" customHeight="1">
      <c r="A28" s="597">
        <v>432</v>
      </c>
      <c r="B28" s="587"/>
      <c r="C28" s="585" t="s">
        <v>218</v>
      </c>
      <c r="D28" s="433">
        <v>-1856.3805600000001</v>
      </c>
      <c r="E28" s="432">
        <v>0</v>
      </c>
      <c r="F28" s="848">
        <v>-3136.34105</v>
      </c>
      <c r="G28" s="848">
        <v>0</v>
      </c>
    </row>
    <row r="29" spans="1:7" s="618" customFormat="1" ht="12.75" customHeight="1">
      <c r="A29" s="597">
        <v>439</v>
      </c>
      <c r="B29" s="587"/>
      <c r="C29" s="585" t="s">
        <v>217</v>
      </c>
      <c r="D29" s="433">
        <v>64822.389640000001</v>
      </c>
      <c r="E29" s="840">
        <v>83622.058999999994</v>
      </c>
      <c r="F29" s="848">
        <v>51809.508820000003</v>
      </c>
      <c r="G29" s="848">
        <v>96086.986599999989</v>
      </c>
    </row>
    <row r="30" spans="1:7" s="480" customFormat="1" ht="25.5">
      <c r="A30" s="597">
        <v>450</v>
      </c>
      <c r="B30" s="596"/>
      <c r="C30" s="589" t="s">
        <v>216</v>
      </c>
      <c r="D30" s="362">
        <v>20112.620859999999</v>
      </c>
      <c r="E30" s="840">
        <v>59177.387000000002</v>
      </c>
      <c r="F30" s="839">
        <v>32091.964540000001</v>
      </c>
      <c r="G30" s="839">
        <v>68620.062000000005</v>
      </c>
    </row>
    <row r="31" spans="1:7" s="579" customFormat="1" ht="25.5">
      <c r="A31" s="597">
        <v>451</v>
      </c>
      <c r="B31" s="596"/>
      <c r="C31" s="589" t="s">
        <v>215</v>
      </c>
      <c r="D31" s="312">
        <v>0</v>
      </c>
      <c r="E31" s="394">
        <v>0</v>
      </c>
      <c r="F31" s="837">
        <v>0</v>
      </c>
      <c r="G31" s="837">
        <v>0</v>
      </c>
    </row>
    <row r="32" spans="1:7" s="480" customFormat="1" ht="12.75" customHeight="1">
      <c r="A32" s="591">
        <v>46</v>
      </c>
      <c r="B32" s="587"/>
      <c r="C32" s="585" t="s">
        <v>214</v>
      </c>
      <c r="D32" s="318">
        <v>3647671.6531099998</v>
      </c>
      <c r="E32" s="840">
        <v>3681137.5</v>
      </c>
      <c r="F32" s="257">
        <v>3654454.801</v>
      </c>
      <c r="G32" s="257">
        <v>3691845</v>
      </c>
    </row>
    <row r="33" spans="1:7" s="579" customFormat="1" ht="12.75" customHeight="1">
      <c r="A33" s="617" t="s">
        <v>213</v>
      </c>
      <c r="B33" s="586"/>
      <c r="C33" s="616" t="s">
        <v>212</v>
      </c>
      <c r="D33" s="318">
        <v>46151.389000000003</v>
      </c>
      <c r="E33" s="840">
        <v>29242.1</v>
      </c>
      <c r="F33" s="257">
        <v>41847.28082</v>
      </c>
      <c r="G33" s="257">
        <v>28478.3</v>
      </c>
    </row>
    <row r="34" spans="1:7" s="480" customFormat="1" ht="15" customHeight="1">
      <c r="A34" s="591">
        <v>47</v>
      </c>
      <c r="B34" s="587"/>
      <c r="C34" s="585" t="s">
        <v>211</v>
      </c>
      <c r="D34" s="318">
        <v>657872.87694999995</v>
      </c>
      <c r="E34" s="369">
        <v>649978.19999999995</v>
      </c>
      <c r="F34" s="257">
        <v>633057.67476999993</v>
      </c>
      <c r="G34" s="257">
        <v>663146.64</v>
      </c>
    </row>
    <row r="35" spans="1:7" s="480" customFormat="1" ht="15" customHeight="1">
      <c r="A35" s="615">
        <v>49</v>
      </c>
      <c r="B35" s="614"/>
      <c r="C35" s="583" t="s">
        <v>210</v>
      </c>
      <c r="D35" s="357">
        <v>0</v>
      </c>
      <c r="E35" s="373">
        <v>0</v>
      </c>
      <c r="F35" s="839">
        <v>0</v>
      </c>
      <c r="G35" s="839">
        <v>0</v>
      </c>
    </row>
    <row r="36" spans="1:7" s="613" customFormat="1" ht="13.5" customHeight="1">
      <c r="A36" s="612"/>
      <c r="B36" s="611"/>
      <c r="C36" s="610" t="s">
        <v>209</v>
      </c>
      <c r="D36" s="609">
        <f>D22+D23+D24+D25+D26+D27+D28+D29+D30+D31+D32+D34</f>
        <v>13745071.832819998</v>
      </c>
      <c r="E36" s="609">
        <f>E22+E23+E24+E25+E26+E27+E28+E29+E30+E31+E32+E34</f>
        <v>14075736.344999999</v>
      </c>
      <c r="F36" s="609">
        <f>F22+F23+F24+F25+F26+F27+F28+F29+F30+F31+F32+F34</f>
        <v>13836566.328349994</v>
      </c>
      <c r="G36" s="609">
        <f>G22+G23+G24+G25+G26+G27+G28+G29+G30+G31+G32+G34</f>
        <v>14350250.220600002</v>
      </c>
    </row>
    <row r="37" spans="1:7" s="608" customFormat="1" ht="15" customHeight="1">
      <c r="A37" s="612"/>
      <c r="B37" s="611"/>
      <c r="C37" s="610" t="s">
        <v>208</v>
      </c>
      <c r="D37" s="609">
        <f>D36-D21</f>
        <v>-318186.44198000059</v>
      </c>
      <c r="E37" s="609">
        <f>E36-E21</f>
        <v>-364940.26000000164</v>
      </c>
      <c r="F37" s="609">
        <f>F36-F21</f>
        <v>-435212.81526000425</v>
      </c>
      <c r="G37" s="609">
        <f>G36-G21</f>
        <v>-302842.36064999923</v>
      </c>
    </row>
    <row r="38" spans="1:7" s="579" customFormat="1" ht="15" customHeight="1">
      <c r="A38" s="593">
        <v>340</v>
      </c>
      <c r="B38" s="587"/>
      <c r="C38" s="585" t="s">
        <v>207</v>
      </c>
      <c r="D38" s="364">
        <v>134592.45150999998</v>
      </c>
      <c r="E38" s="369">
        <v>125754.72199999999</v>
      </c>
      <c r="F38" s="257">
        <v>122641.91751</v>
      </c>
      <c r="G38" s="257">
        <v>128274.163</v>
      </c>
    </row>
    <row r="39" spans="1:7" s="579" customFormat="1" ht="15" customHeight="1">
      <c r="A39" s="593">
        <v>341</v>
      </c>
      <c r="B39" s="587"/>
      <c r="C39" s="585" t="s">
        <v>206</v>
      </c>
      <c r="D39" s="318">
        <v>16217.326160000001</v>
      </c>
      <c r="E39" s="369">
        <v>475.6</v>
      </c>
      <c r="F39" s="257">
        <v>1710.9639299999999</v>
      </c>
      <c r="G39" s="257">
        <v>344.6</v>
      </c>
    </row>
    <row r="40" spans="1:7" s="579" customFormat="1" ht="15" customHeight="1">
      <c r="A40" s="593">
        <v>342</v>
      </c>
      <c r="B40" s="587"/>
      <c r="C40" s="585" t="s">
        <v>205</v>
      </c>
      <c r="D40" s="318">
        <v>609.05331000000001</v>
      </c>
      <c r="E40" s="369">
        <v>720</v>
      </c>
      <c r="F40" s="257">
        <v>814.59722999999997</v>
      </c>
      <c r="G40" s="257">
        <v>705</v>
      </c>
    </row>
    <row r="41" spans="1:7" s="579" customFormat="1" ht="15" customHeight="1">
      <c r="A41" s="593">
        <v>343</v>
      </c>
      <c r="B41" s="587"/>
      <c r="C41" s="585" t="s">
        <v>204</v>
      </c>
      <c r="D41" s="318">
        <v>8651.0919300000005</v>
      </c>
      <c r="E41" s="369">
        <v>9954.7999999999993</v>
      </c>
      <c r="F41" s="257">
        <v>13502.086880000001</v>
      </c>
      <c r="G41" s="257">
        <v>5829</v>
      </c>
    </row>
    <row r="42" spans="1:7" s="579" customFormat="1" ht="15" customHeight="1">
      <c r="A42" s="593">
        <v>344</v>
      </c>
      <c r="B42" s="587"/>
      <c r="C42" s="585" t="s">
        <v>198</v>
      </c>
      <c r="D42" s="318">
        <v>2335.9804900000004</v>
      </c>
      <c r="E42" s="369">
        <v>0</v>
      </c>
      <c r="F42" s="257">
        <v>2488.28917</v>
      </c>
      <c r="G42" s="257">
        <v>70</v>
      </c>
    </row>
    <row r="43" spans="1:7" s="579" customFormat="1" ht="15" customHeight="1">
      <c r="A43" s="593">
        <v>349</v>
      </c>
      <c r="B43" s="587"/>
      <c r="C43" s="585" t="s">
        <v>203</v>
      </c>
      <c r="D43" s="318">
        <v>1134.28448</v>
      </c>
      <c r="E43" s="369">
        <v>2375</v>
      </c>
      <c r="F43" s="257">
        <v>1007.86076</v>
      </c>
      <c r="G43" s="257">
        <v>2053.6</v>
      </c>
    </row>
    <row r="44" spans="1:7" s="480" customFormat="1" ht="15" customHeight="1">
      <c r="A44" s="591">
        <v>440</v>
      </c>
      <c r="B44" s="587"/>
      <c r="C44" s="585" t="s">
        <v>202</v>
      </c>
      <c r="D44" s="364">
        <v>47168.648130000001</v>
      </c>
      <c r="E44" s="369">
        <v>45581.9</v>
      </c>
      <c r="F44" s="257">
        <v>43136.89056</v>
      </c>
      <c r="G44" s="257">
        <v>44738.1</v>
      </c>
    </row>
    <row r="45" spans="1:7" s="480" customFormat="1" ht="15" customHeight="1">
      <c r="A45" s="591">
        <v>441</v>
      </c>
      <c r="B45" s="587"/>
      <c r="C45" s="585" t="s">
        <v>201</v>
      </c>
      <c r="D45" s="364">
        <v>4907.1659500000005</v>
      </c>
      <c r="E45" s="369">
        <v>2966</v>
      </c>
      <c r="F45" s="257">
        <v>10601.7225</v>
      </c>
      <c r="G45" s="257">
        <v>2157.3000000000002</v>
      </c>
    </row>
    <row r="46" spans="1:7" s="480" customFormat="1" ht="15" customHeight="1">
      <c r="A46" s="591">
        <v>442</v>
      </c>
      <c r="B46" s="587"/>
      <c r="C46" s="585" t="s">
        <v>200</v>
      </c>
      <c r="D46" s="364">
        <v>519.27589</v>
      </c>
      <c r="E46" s="369">
        <v>93</v>
      </c>
      <c r="F46" s="257">
        <v>548.47964999999999</v>
      </c>
      <c r="G46" s="257">
        <v>106</v>
      </c>
    </row>
    <row r="47" spans="1:7" s="480" customFormat="1" ht="15" customHeight="1">
      <c r="A47" s="591">
        <v>443</v>
      </c>
      <c r="B47" s="587"/>
      <c r="C47" s="585" t="s">
        <v>199</v>
      </c>
      <c r="D47" s="364">
        <v>24203.587390000001</v>
      </c>
      <c r="E47" s="369">
        <v>23182.9</v>
      </c>
      <c r="F47" s="257">
        <v>22893.32994</v>
      </c>
      <c r="G47" s="257">
        <v>24499.15</v>
      </c>
    </row>
    <row r="48" spans="1:7" s="480" customFormat="1" ht="15" customHeight="1">
      <c r="A48" s="591">
        <v>444</v>
      </c>
      <c r="B48" s="587"/>
      <c r="C48" s="585" t="s">
        <v>198</v>
      </c>
      <c r="D48" s="364">
        <v>7875.6852500000005</v>
      </c>
      <c r="E48" s="369">
        <v>3250</v>
      </c>
      <c r="F48" s="257">
        <v>4213.0234299999993</v>
      </c>
      <c r="G48" s="257">
        <v>3020</v>
      </c>
    </row>
    <row r="49" spans="1:7" s="480" customFormat="1" ht="15" customHeight="1">
      <c r="A49" s="591">
        <v>445</v>
      </c>
      <c r="B49" s="587"/>
      <c r="C49" s="585" t="s">
        <v>197</v>
      </c>
      <c r="D49" s="364">
        <v>37639.009030000001</v>
      </c>
      <c r="E49" s="369">
        <v>32886</v>
      </c>
      <c r="F49" s="257">
        <v>54727.358</v>
      </c>
      <c r="G49" s="257">
        <v>32638.6</v>
      </c>
    </row>
    <row r="50" spans="1:7" s="480" customFormat="1" ht="15" customHeight="1">
      <c r="A50" s="591">
        <v>446</v>
      </c>
      <c r="B50" s="587"/>
      <c r="C50" s="585" t="s">
        <v>196</v>
      </c>
      <c r="D50" s="364">
        <v>274894.61749999999</v>
      </c>
      <c r="E50" s="369">
        <v>271635</v>
      </c>
      <c r="F50" s="257">
        <v>270557.56300000002</v>
      </c>
      <c r="G50" s="257">
        <v>227775</v>
      </c>
    </row>
    <row r="51" spans="1:7" s="480" customFormat="1" ht="15" customHeight="1">
      <c r="A51" s="591">
        <v>447</v>
      </c>
      <c r="B51" s="587"/>
      <c r="C51" s="585" t="s">
        <v>195</v>
      </c>
      <c r="D51" s="364">
        <v>31858.369469999998</v>
      </c>
      <c r="E51" s="369">
        <v>30146.74</v>
      </c>
      <c r="F51" s="257">
        <v>34339.261259999999</v>
      </c>
      <c r="G51" s="257">
        <v>29491.24</v>
      </c>
    </row>
    <row r="52" spans="1:7" s="480" customFormat="1" ht="15" customHeight="1">
      <c r="A52" s="591">
        <v>448</v>
      </c>
      <c r="B52" s="587"/>
      <c r="C52" s="585" t="s">
        <v>194</v>
      </c>
      <c r="D52" s="364">
        <v>3669.7180499999999</v>
      </c>
      <c r="E52" s="369">
        <v>1479.5</v>
      </c>
      <c r="F52" s="257">
        <v>5464.5717199999999</v>
      </c>
      <c r="G52" s="257">
        <v>1781.7</v>
      </c>
    </row>
    <row r="53" spans="1:7" s="480" customFormat="1" ht="15" customHeight="1">
      <c r="A53" s="591">
        <v>449</v>
      </c>
      <c r="B53" s="587"/>
      <c r="C53" s="585" t="s">
        <v>193</v>
      </c>
      <c r="D53" s="364">
        <v>11400.486949999999</v>
      </c>
      <c r="E53" s="369">
        <v>225</v>
      </c>
      <c r="F53" s="257">
        <v>7933.9722499999998</v>
      </c>
      <c r="G53" s="257">
        <v>466</v>
      </c>
    </row>
    <row r="54" spans="1:7" s="579" customFormat="1" ht="13.5" customHeight="1">
      <c r="A54" s="607" t="s">
        <v>192</v>
      </c>
      <c r="B54" s="580"/>
      <c r="C54" s="580" t="s">
        <v>191</v>
      </c>
      <c r="D54" s="419">
        <v>11097.94267</v>
      </c>
      <c r="E54" s="417">
        <v>225</v>
      </c>
      <c r="F54" s="835">
        <v>7928.0041500000007</v>
      </c>
      <c r="G54" s="835">
        <v>206</v>
      </c>
    </row>
    <row r="55" spans="1:7" ht="15" customHeight="1">
      <c r="A55" s="606"/>
      <c r="B55" s="606"/>
      <c r="C55" s="576" t="s">
        <v>55</v>
      </c>
      <c r="D55" s="380">
        <f>SUM(D44:D53)-SUM(D38:D43)</f>
        <v>280596.37572999997</v>
      </c>
      <c r="E55" s="380">
        <f>SUM(E44:E53)-SUM(E38:E43)</f>
        <v>272165.91799999995</v>
      </c>
      <c r="F55" s="380">
        <f>SUM(F44:F53)-SUM(F38:F43)</f>
        <v>312250.45682999998</v>
      </c>
      <c r="G55" s="380">
        <f>SUM(G44:G53)-SUM(G38:G43)</f>
        <v>229396.72700000001</v>
      </c>
    </row>
    <row r="56" spans="1:7" ht="14.25" customHeight="1">
      <c r="A56" s="606"/>
      <c r="B56" s="606"/>
      <c r="C56" s="576" t="s">
        <v>190</v>
      </c>
      <c r="D56" s="380">
        <f>D55+D37</f>
        <v>-37590.066250000615</v>
      </c>
      <c r="E56" s="380">
        <f>E55+E37</f>
        <v>-92774.342000001692</v>
      </c>
      <c r="F56" s="380">
        <f>F55+F37</f>
        <v>-122962.35843000427</v>
      </c>
      <c r="G56" s="380">
        <f>G55+G37</f>
        <v>-73445.633649999218</v>
      </c>
    </row>
    <row r="57" spans="1:7" s="480" customFormat="1" ht="15.75" customHeight="1">
      <c r="A57" s="605">
        <v>380</v>
      </c>
      <c r="B57" s="604"/>
      <c r="C57" s="603" t="s">
        <v>189</v>
      </c>
      <c r="D57" s="569">
        <v>0</v>
      </c>
      <c r="E57" s="737">
        <v>0</v>
      </c>
      <c r="F57" s="602">
        <v>0</v>
      </c>
      <c r="G57" s="601">
        <v>0</v>
      </c>
    </row>
    <row r="58" spans="1:7" s="480" customFormat="1" ht="15.75" customHeight="1">
      <c r="A58" s="605">
        <v>381</v>
      </c>
      <c r="B58" s="604"/>
      <c r="C58" s="603" t="s">
        <v>188</v>
      </c>
      <c r="D58" s="569">
        <v>0</v>
      </c>
      <c r="E58" s="737">
        <v>-150000</v>
      </c>
      <c r="F58" s="602">
        <v>0</v>
      </c>
      <c r="G58" s="257">
        <v>-100000</v>
      </c>
    </row>
    <row r="59" spans="1:7" s="579" customFormat="1" ht="25.5">
      <c r="A59" s="597">
        <v>383</v>
      </c>
      <c r="B59" s="596"/>
      <c r="C59" s="589" t="s">
        <v>187</v>
      </c>
      <c r="D59" s="410">
        <v>0</v>
      </c>
      <c r="E59" s="394">
        <v>0</v>
      </c>
      <c r="F59" s="409">
        <v>0</v>
      </c>
      <c r="G59" s="342">
        <v>0</v>
      </c>
    </row>
    <row r="60" spans="1:7" s="579" customFormat="1">
      <c r="A60" s="597">
        <v>3840</v>
      </c>
      <c r="B60" s="596"/>
      <c r="C60" s="589" t="s">
        <v>186</v>
      </c>
      <c r="D60" s="847">
        <v>0</v>
      </c>
      <c r="E60" s="782">
        <v>0</v>
      </c>
      <c r="F60" s="595">
        <v>0</v>
      </c>
      <c r="G60" s="594">
        <v>0</v>
      </c>
    </row>
    <row r="61" spans="1:7" s="579" customFormat="1">
      <c r="A61" s="597">
        <v>3841</v>
      </c>
      <c r="B61" s="596"/>
      <c r="C61" s="589" t="s">
        <v>185</v>
      </c>
      <c r="D61" s="847">
        <v>0</v>
      </c>
      <c r="E61" s="782">
        <v>0</v>
      </c>
      <c r="F61" s="595">
        <v>0</v>
      </c>
      <c r="G61" s="594">
        <v>0</v>
      </c>
    </row>
    <row r="62" spans="1:7" s="579" customFormat="1">
      <c r="A62" s="600">
        <v>386</v>
      </c>
      <c r="B62" s="599"/>
      <c r="C62" s="598" t="s">
        <v>184</v>
      </c>
      <c r="D62" s="847">
        <v>0</v>
      </c>
      <c r="E62" s="782">
        <v>0</v>
      </c>
      <c r="F62" s="595">
        <v>0</v>
      </c>
      <c r="G62" s="594">
        <v>0</v>
      </c>
    </row>
    <row r="63" spans="1:7" s="579" customFormat="1" ht="25.5">
      <c r="A63" s="597">
        <v>387</v>
      </c>
      <c r="B63" s="596"/>
      <c r="C63" s="589" t="s">
        <v>183</v>
      </c>
      <c r="D63" s="847">
        <v>0</v>
      </c>
      <c r="E63" s="782">
        <v>0</v>
      </c>
      <c r="F63" s="595">
        <v>0</v>
      </c>
      <c r="G63" s="594">
        <v>0</v>
      </c>
    </row>
    <row r="64" spans="1:7" s="579" customFormat="1">
      <c r="A64" s="593">
        <v>389</v>
      </c>
      <c r="B64" s="592"/>
      <c r="C64" s="585" t="s">
        <v>182</v>
      </c>
      <c r="D64" s="318">
        <v>0</v>
      </c>
      <c r="E64" s="369">
        <v>0</v>
      </c>
      <c r="F64" s="317">
        <v>0</v>
      </c>
      <c r="G64" s="316">
        <v>0</v>
      </c>
    </row>
    <row r="65" spans="1:7" s="480" customFormat="1">
      <c r="A65" s="591" t="s">
        <v>181</v>
      </c>
      <c r="B65" s="587"/>
      <c r="C65" s="585" t="s">
        <v>180</v>
      </c>
      <c r="D65" s="318">
        <v>0</v>
      </c>
      <c r="E65" s="369">
        <v>0</v>
      </c>
      <c r="F65" s="317">
        <v>0</v>
      </c>
      <c r="G65" s="316">
        <v>0</v>
      </c>
    </row>
    <row r="66" spans="1:7" s="588" customFormat="1">
      <c r="A66" s="584" t="s">
        <v>179</v>
      </c>
      <c r="B66" s="590"/>
      <c r="C66" s="589" t="s">
        <v>178</v>
      </c>
      <c r="D66" s="344">
        <v>0</v>
      </c>
      <c r="E66" s="394">
        <v>0</v>
      </c>
      <c r="F66" s="343">
        <v>0</v>
      </c>
      <c r="G66" s="342">
        <v>0</v>
      </c>
    </row>
    <row r="67" spans="1:7" s="480" customFormat="1">
      <c r="A67" s="584">
        <v>481</v>
      </c>
      <c r="B67" s="587"/>
      <c r="C67" s="585" t="s">
        <v>177</v>
      </c>
      <c r="D67" s="318">
        <v>0</v>
      </c>
      <c r="E67" s="369">
        <v>0</v>
      </c>
      <c r="F67" s="317">
        <v>0</v>
      </c>
      <c r="G67" s="316">
        <v>0</v>
      </c>
    </row>
    <row r="68" spans="1:7" s="480" customFormat="1">
      <c r="A68" s="584">
        <v>482</v>
      </c>
      <c r="B68" s="587"/>
      <c r="C68" s="585" t="s">
        <v>176</v>
      </c>
      <c r="D68" s="318">
        <v>0</v>
      </c>
      <c r="E68" s="369">
        <v>0</v>
      </c>
      <c r="F68" s="317">
        <v>0</v>
      </c>
      <c r="G68" s="316">
        <v>0</v>
      </c>
    </row>
    <row r="69" spans="1:7" s="480" customFormat="1">
      <c r="A69" s="584">
        <v>483</v>
      </c>
      <c r="B69" s="587"/>
      <c r="C69" s="585" t="s">
        <v>175</v>
      </c>
      <c r="D69" s="318">
        <v>0</v>
      </c>
      <c r="E69" s="369">
        <v>0</v>
      </c>
      <c r="F69" s="317">
        <v>0</v>
      </c>
      <c r="G69" s="316">
        <v>0</v>
      </c>
    </row>
    <row r="70" spans="1:7" s="480" customFormat="1">
      <c r="A70" s="584">
        <v>484</v>
      </c>
      <c r="B70" s="587"/>
      <c r="C70" s="585" t="s">
        <v>174</v>
      </c>
      <c r="D70" s="318">
        <v>0</v>
      </c>
      <c r="E70" s="369">
        <v>0</v>
      </c>
      <c r="F70" s="317">
        <v>0</v>
      </c>
      <c r="G70" s="316">
        <v>0</v>
      </c>
    </row>
    <row r="71" spans="1:7" s="480" customFormat="1">
      <c r="A71" s="584">
        <v>485</v>
      </c>
      <c r="B71" s="587"/>
      <c r="C71" s="585" t="s">
        <v>173</v>
      </c>
      <c r="D71" s="318">
        <v>0</v>
      </c>
      <c r="E71" s="369">
        <v>0</v>
      </c>
      <c r="F71" s="317">
        <v>0</v>
      </c>
      <c r="G71" s="316">
        <v>0</v>
      </c>
    </row>
    <row r="72" spans="1:7" s="480" customFormat="1">
      <c r="A72" s="584">
        <v>486</v>
      </c>
      <c r="B72" s="587"/>
      <c r="C72" s="585" t="s">
        <v>172</v>
      </c>
      <c r="D72" s="318">
        <v>0</v>
      </c>
      <c r="E72" s="369">
        <v>0</v>
      </c>
      <c r="F72" s="317">
        <v>0</v>
      </c>
      <c r="G72" s="316">
        <v>0</v>
      </c>
    </row>
    <row r="73" spans="1:7" s="579" customFormat="1">
      <c r="A73" s="584">
        <v>487</v>
      </c>
      <c r="B73" s="586"/>
      <c r="C73" s="585" t="s">
        <v>171</v>
      </c>
      <c r="D73" s="364">
        <v>0</v>
      </c>
      <c r="E73" s="369">
        <v>0</v>
      </c>
      <c r="F73" s="362">
        <v>0</v>
      </c>
      <c r="G73" s="316">
        <v>0</v>
      </c>
    </row>
    <row r="74" spans="1:7" s="579" customFormat="1">
      <c r="A74" s="584">
        <v>489</v>
      </c>
      <c r="B74" s="581"/>
      <c r="C74" s="583" t="s">
        <v>170</v>
      </c>
      <c r="D74" s="364">
        <v>0</v>
      </c>
      <c r="E74" s="369">
        <v>0</v>
      </c>
      <c r="F74" s="362">
        <v>0</v>
      </c>
      <c r="G74" s="316">
        <v>0</v>
      </c>
    </row>
    <row r="75" spans="1:7" s="579" customFormat="1">
      <c r="A75" s="582" t="s">
        <v>169</v>
      </c>
      <c r="B75" s="581"/>
      <c r="C75" s="580" t="s">
        <v>168</v>
      </c>
      <c r="D75" s="318">
        <v>0</v>
      </c>
      <c r="E75" s="369">
        <v>0</v>
      </c>
      <c r="F75" s="317">
        <v>0</v>
      </c>
      <c r="G75" s="316">
        <v>0</v>
      </c>
    </row>
    <row r="76" spans="1:7">
      <c r="A76" s="578"/>
      <c r="B76" s="578"/>
      <c r="C76" s="576" t="s">
        <v>167</v>
      </c>
      <c r="D76" s="380">
        <f>SUM(D65:D74)-SUM(D57:D64)</f>
        <v>0</v>
      </c>
      <c r="E76" s="380">
        <f>SUM(E65:E74)-SUM(E57:E64)</f>
        <v>150000</v>
      </c>
      <c r="F76" s="380">
        <f>SUM(F65:F74)-SUM(F57:F64)</f>
        <v>0</v>
      </c>
      <c r="G76" s="380">
        <f>SUM(G65:G74)-SUM(G57:G64)</f>
        <v>100000</v>
      </c>
    </row>
    <row r="77" spans="1:7">
      <c r="A77" s="577"/>
      <c r="B77" s="577"/>
      <c r="C77" s="576" t="s">
        <v>166</v>
      </c>
      <c r="D77" s="380">
        <f>D56+D76</f>
        <v>-37590.066250000615</v>
      </c>
      <c r="E77" s="380">
        <f>E56+E76</f>
        <v>57225.657999998308</v>
      </c>
      <c r="F77" s="380">
        <f>F56+F76</f>
        <v>-122962.35843000427</v>
      </c>
      <c r="G77" s="380">
        <f>G56+G76</f>
        <v>26554.366350000782</v>
      </c>
    </row>
    <row r="78" spans="1:7">
      <c r="A78" s="575">
        <v>3</v>
      </c>
      <c r="B78" s="575"/>
      <c r="C78" s="574" t="s">
        <v>165</v>
      </c>
      <c r="D78" s="377">
        <f>D20+D21+SUM(D38:D43)+SUM(D57:D64)</f>
        <v>14226798.462679999</v>
      </c>
      <c r="E78" s="377">
        <f>E20+E21+SUM(E38:E43)+SUM(E57:E64)</f>
        <v>14429956.727</v>
      </c>
      <c r="F78" s="377">
        <f>F20+F21+SUM(F38:F43)+SUM(F57:F64)</f>
        <v>14413944.859089999</v>
      </c>
      <c r="G78" s="377">
        <f>G20+G21+SUM(G38:G43)+SUM(G57:G64)</f>
        <v>14690368.944250001</v>
      </c>
    </row>
    <row r="79" spans="1:7" ht="13.9" customHeight="1">
      <c r="A79" s="575">
        <v>4</v>
      </c>
      <c r="B79" s="575"/>
      <c r="C79" s="574" t="s">
        <v>164</v>
      </c>
      <c r="D79" s="377">
        <f>D35+D36+SUM(D44:D53)+SUM(D65:D74)</f>
        <v>14189208.396429999</v>
      </c>
      <c r="E79" s="377">
        <f>E35+E36+SUM(E44:E53)+SUM(E65:E74)</f>
        <v>14487182.384999998</v>
      </c>
      <c r="F79" s="377">
        <f>F35+F36+SUM(F44:F53)+SUM(F65:F74)</f>
        <v>14290982.500659995</v>
      </c>
      <c r="G79" s="377">
        <f>G35+G36+SUM(G44:G53)+SUM(G65:G74)</f>
        <v>14716923.310600001</v>
      </c>
    </row>
    <row r="80" spans="1:7">
      <c r="A80" s="534"/>
      <c r="B80" s="534"/>
      <c r="C80" s="533"/>
      <c r="G80" s="846"/>
    </row>
    <row r="81" spans="1:7">
      <c r="A81" s="951" t="s">
        <v>163</v>
      </c>
      <c r="B81" s="952"/>
      <c r="C81" s="952"/>
    </row>
    <row r="82" spans="1:7" s="480" customFormat="1">
      <c r="A82" s="567">
        <v>50</v>
      </c>
      <c r="B82" s="565"/>
      <c r="C82" s="565" t="s">
        <v>162</v>
      </c>
      <c r="D82" s="753">
        <v>619146.24438000005</v>
      </c>
      <c r="E82" s="753">
        <v>426479.1</v>
      </c>
      <c r="F82" s="845">
        <v>711709.76680999994</v>
      </c>
      <c r="G82" s="844">
        <v>492810.3</v>
      </c>
    </row>
    <row r="83" spans="1:7" s="480" customFormat="1">
      <c r="A83" s="567">
        <v>51</v>
      </c>
      <c r="B83" s="565"/>
      <c r="C83" s="565" t="s">
        <v>161</v>
      </c>
      <c r="D83" s="318">
        <v>172.78870000000001</v>
      </c>
      <c r="E83" s="369">
        <v>1495.7</v>
      </c>
      <c r="F83" s="842">
        <v>1248.4447500000001</v>
      </c>
      <c r="G83" s="842">
        <v>100</v>
      </c>
    </row>
    <row r="84" spans="1:7" s="480" customFormat="1">
      <c r="A84" s="567">
        <v>52</v>
      </c>
      <c r="B84" s="565"/>
      <c r="C84" s="565" t="s">
        <v>160</v>
      </c>
      <c r="D84" s="318">
        <v>26002.60139</v>
      </c>
      <c r="E84" s="369">
        <v>42830.2</v>
      </c>
      <c r="F84" s="842">
        <v>35102.238310000001</v>
      </c>
      <c r="G84" s="842">
        <v>46736</v>
      </c>
    </row>
    <row r="85" spans="1:7" s="480" customFormat="1">
      <c r="A85" s="571">
        <v>54</v>
      </c>
      <c r="B85" s="570"/>
      <c r="C85" s="570" t="s">
        <v>117</v>
      </c>
      <c r="D85" s="323">
        <v>12106.468800000001</v>
      </c>
      <c r="E85" s="425">
        <v>52625</v>
      </c>
      <c r="F85" s="843">
        <v>12386.517</v>
      </c>
      <c r="G85" s="843">
        <v>28000</v>
      </c>
    </row>
    <row r="86" spans="1:7" s="480" customFormat="1">
      <c r="A86" s="571">
        <v>55</v>
      </c>
      <c r="B86" s="570"/>
      <c r="C86" s="570" t="s">
        <v>159</v>
      </c>
      <c r="D86" s="323">
        <v>0</v>
      </c>
      <c r="E86" s="425">
        <v>200</v>
      </c>
      <c r="F86" s="843">
        <v>21137.607</v>
      </c>
      <c r="G86" s="843">
        <v>500000</v>
      </c>
    </row>
    <row r="87" spans="1:7" s="480" customFormat="1">
      <c r="A87" s="571">
        <v>56</v>
      </c>
      <c r="B87" s="570"/>
      <c r="C87" s="570" t="s">
        <v>158</v>
      </c>
      <c r="D87" s="323">
        <v>208015.25093000001</v>
      </c>
      <c r="E87" s="840">
        <v>276350.7</v>
      </c>
      <c r="F87" s="843">
        <v>197149.08351</v>
      </c>
      <c r="G87" s="843">
        <v>239633.7</v>
      </c>
    </row>
    <row r="88" spans="1:7" s="480" customFormat="1">
      <c r="A88" s="567">
        <v>57</v>
      </c>
      <c r="B88" s="565"/>
      <c r="C88" s="565" t="s">
        <v>143</v>
      </c>
      <c r="D88" s="318">
        <v>31354.210850000003</v>
      </c>
      <c r="E88" s="369">
        <v>31730</v>
      </c>
      <c r="F88" s="842">
        <v>39130.228299999995</v>
      </c>
      <c r="G88" s="842">
        <v>32769</v>
      </c>
    </row>
    <row r="89" spans="1:7" s="480" customFormat="1">
      <c r="A89" s="567">
        <v>580</v>
      </c>
      <c r="B89" s="565"/>
      <c r="C89" s="565" t="s">
        <v>157</v>
      </c>
      <c r="D89" s="318">
        <v>0</v>
      </c>
      <c r="E89" s="369">
        <v>0</v>
      </c>
      <c r="F89" s="842">
        <v>0</v>
      </c>
      <c r="G89" s="842">
        <v>0</v>
      </c>
    </row>
    <row r="90" spans="1:7" s="480" customFormat="1">
      <c r="A90" s="567">
        <v>582</v>
      </c>
      <c r="B90" s="565"/>
      <c r="C90" s="565" t="s">
        <v>156</v>
      </c>
      <c r="D90" s="318">
        <v>0</v>
      </c>
      <c r="E90" s="369">
        <v>0</v>
      </c>
      <c r="F90" s="842">
        <v>0</v>
      </c>
      <c r="G90" s="842">
        <v>0</v>
      </c>
    </row>
    <row r="91" spans="1:7" s="480" customFormat="1">
      <c r="A91" s="567">
        <v>584</v>
      </c>
      <c r="B91" s="565"/>
      <c r="C91" s="565" t="s">
        <v>155</v>
      </c>
      <c r="D91" s="318">
        <v>0</v>
      </c>
      <c r="E91" s="369">
        <v>0</v>
      </c>
      <c r="F91" s="842">
        <v>0</v>
      </c>
      <c r="G91" s="842">
        <v>0</v>
      </c>
    </row>
    <row r="92" spans="1:7" s="480" customFormat="1">
      <c r="A92" s="567">
        <v>585</v>
      </c>
      <c r="B92" s="565"/>
      <c r="C92" s="565" t="s">
        <v>154</v>
      </c>
      <c r="D92" s="318">
        <v>0</v>
      </c>
      <c r="E92" s="369">
        <v>0</v>
      </c>
      <c r="F92" s="842">
        <v>0</v>
      </c>
      <c r="G92" s="842">
        <v>0</v>
      </c>
    </row>
    <row r="93" spans="1:7" s="480" customFormat="1">
      <c r="A93" s="567">
        <v>586</v>
      </c>
      <c r="B93" s="565"/>
      <c r="C93" s="565" t="s">
        <v>153</v>
      </c>
      <c r="D93" s="318">
        <v>0</v>
      </c>
      <c r="E93" s="369">
        <v>0</v>
      </c>
      <c r="F93" s="842">
        <v>0</v>
      </c>
      <c r="G93" s="842">
        <v>0</v>
      </c>
    </row>
    <row r="94" spans="1:7" s="480" customFormat="1">
      <c r="A94" s="568">
        <v>589</v>
      </c>
      <c r="B94" s="561"/>
      <c r="C94" s="561" t="s">
        <v>152</v>
      </c>
      <c r="D94" s="334">
        <v>0</v>
      </c>
      <c r="E94" s="373">
        <v>0</v>
      </c>
      <c r="F94" s="841">
        <v>0</v>
      </c>
      <c r="G94" s="841">
        <v>0</v>
      </c>
    </row>
    <row r="95" spans="1:7">
      <c r="A95" s="557">
        <v>5</v>
      </c>
      <c r="B95" s="555"/>
      <c r="C95" s="555" t="s">
        <v>151</v>
      </c>
      <c r="D95" s="348">
        <f>SUM(D82:D94)</f>
        <v>896797.56505000009</v>
      </c>
      <c r="E95" s="348">
        <f>SUM(E82:E94)</f>
        <v>831710.7</v>
      </c>
      <c r="F95" s="348">
        <f>SUM(F82:F94)</f>
        <v>1017863.8856799999</v>
      </c>
      <c r="G95" s="348">
        <f>SUM(G82:G94)</f>
        <v>1340049</v>
      </c>
    </row>
    <row r="96" spans="1:7" s="480" customFormat="1">
      <c r="A96" s="567">
        <v>60</v>
      </c>
      <c r="B96" s="565"/>
      <c r="C96" s="565" t="s">
        <v>150</v>
      </c>
      <c r="D96" s="318">
        <v>11221.70909</v>
      </c>
      <c r="E96" s="369">
        <v>160</v>
      </c>
      <c r="F96" s="257">
        <v>733.03195999999991</v>
      </c>
      <c r="G96" s="257">
        <v>210</v>
      </c>
    </row>
    <row r="97" spans="1:7" s="480" customFormat="1">
      <c r="A97" s="567">
        <v>61</v>
      </c>
      <c r="B97" s="565"/>
      <c r="C97" s="565" t="s">
        <v>149</v>
      </c>
      <c r="D97" s="318">
        <v>129.14599999999999</v>
      </c>
      <c r="E97" s="369">
        <v>1495.7</v>
      </c>
      <c r="F97" s="257">
        <v>1248.4447500000001</v>
      </c>
      <c r="G97" s="257">
        <v>100</v>
      </c>
    </row>
    <row r="98" spans="1:7" s="480" customFormat="1">
      <c r="A98" s="567">
        <v>62</v>
      </c>
      <c r="B98" s="565"/>
      <c r="C98" s="565" t="s">
        <v>148</v>
      </c>
      <c r="D98" s="318">
        <v>180.65885</v>
      </c>
      <c r="E98" s="369">
        <v>576.5</v>
      </c>
      <c r="F98" s="257">
        <v>240.4521</v>
      </c>
      <c r="G98" s="257">
        <v>0</v>
      </c>
    </row>
    <row r="99" spans="1:7" s="480" customFormat="1">
      <c r="A99" s="567">
        <v>63</v>
      </c>
      <c r="B99" s="565"/>
      <c r="C99" s="565" t="s">
        <v>147</v>
      </c>
      <c r="D99" s="318">
        <v>39170.721979999995</v>
      </c>
      <c r="E99" s="840">
        <v>34758.300000000003</v>
      </c>
      <c r="F99" s="257">
        <v>73126.564239999992</v>
      </c>
      <c r="G99" s="257">
        <v>23270.799999999999</v>
      </c>
    </row>
    <row r="100" spans="1:7" s="480" customFormat="1">
      <c r="A100" s="567">
        <v>64</v>
      </c>
      <c r="B100" s="565"/>
      <c r="C100" s="565" t="s">
        <v>146</v>
      </c>
      <c r="D100" s="318">
        <v>211159.95454000001</v>
      </c>
      <c r="E100" s="369">
        <v>105327.5</v>
      </c>
      <c r="F100" s="257">
        <v>460376.41414999997</v>
      </c>
      <c r="G100" s="257">
        <v>78362.7</v>
      </c>
    </row>
    <row r="101" spans="1:7" s="480" customFormat="1">
      <c r="A101" s="567">
        <v>65</v>
      </c>
      <c r="B101" s="565"/>
      <c r="C101" s="565" t="s">
        <v>145</v>
      </c>
      <c r="D101" s="318">
        <v>0</v>
      </c>
      <c r="E101" s="369">
        <v>0</v>
      </c>
      <c r="F101" s="257">
        <v>243</v>
      </c>
      <c r="G101" s="257">
        <v>0</v>
      </c>
    </row>
    <row r="102" spans="1:7" s="480" customFormat="1">
      <c r="A102" s="567">
        <v>66</v>
      </c>
      <c r="B102" s="565"/>
      <c r="C102" s="565" t="s">
        <v>144</v>
      </c>
      <c r="D102" s="318">
        <v>850.43333999999993</v>
      </c>
      <c r="E102" s="369">
        <v>5600</v>
      </c>
      <c r="F102" s="257">
        <v>2064.3353000000002</v>
      </c>
      <c r="G102" s="257">
        <v>200</v>
      </c>
    </row>
    <row r="103" spans="1:7" s="480" customFormat="1">
      <c r="A103" s="567">
        <v>67</v>
      </c>
      <c r="B103" s="565"/>
      <c r="C103" s="565" t="s">
        <v>143</v>
      </c>
      <c r="D103" s="364">
        <v>31354.210850000003</v>
      </c>
      <c r="E103" s="363">
        <v>31730</v>
      </c>
      <c r="F103" s="839">
        <v>39130.228299999995</v>
      </c>
      <c r="G103" s="839">
        <v>32769</v>
      </c>
    </row>
    <row r="104" spans="1:7" s="480" customFormat="1" ht="25.5">
      <c r="A104" s="566" t="s">
        <v>142</v>
      </c>
      <c r="B104" s="565"/>
      <c r="C104" s="564" t="s">
        <v>141</v>
      </c>
      <c r="D104" s="410">
        <v>0</v>
      </c>
      <c r="E104" s="724">
        <v>0</v>
      </c>
      <c r="F104" s="832">
        <v>0</v>
      </c>
      <c r="G104" s="832">
        <v>0</v>
      </c>
    </row>
    <row r="105" spans="1:7" s="480" customFormat="1" ht="38.25">
      <c r="A105" s="562" t="s">
        <v>140</v>
      </c>
      <c r="B105" s="561"/>
      <c r="C105" s="560" t="s">
        <v>139</v>
      </c>
      <c r="D105" s="720">
        <v>0</v>
      </c>
      <c r="E105" s="719">
        <v>0</v>
      </c>
      <c r="F105" s="832">
        <v>0</v>
      </c>
      <c r="G105" s="832">
        <v>0</v>
      </c>
    </row>
    <row r="106" spans="1:7">
      <c r="A106" s="557">
        <v>6</v>
      </c>
      <c r="B106" s="555"/>
      <c r="C106" s="555" t="s">
        <v>138</v>
      </c>
      <c r="D106" s="348">
        <f>SUM(D96:D105)</f>
        <v>294066.83464999998</v>
      </c>
      <c r="E106" s="348">
        <f>SUM(E96:E105)</f>
        <v>179648</v>
      </c>
      <c r="F106" s="348">
        <f>SUM(F96:F105)</f>
        <v>577162.47080000001</v>
      </c>
      <c r="G106" s="348">
        <f>SUM(G96:G105)</f>
        <v>134912.5</v>
      </c>
    </row>
    <row r="107" spans="1:7">
      <c r="A107" s="556" t="s">
        <v>137</v>
      </c>
      <c r="B107" s="556"/>
      <c r="C107" s="555" t="s">
        <v>3</v>
      </c>
      <c r="D107" s="348">
        <f>(D95-D88)-(D106-D103)</f>
        <v>602730.73040000012</v>
      </c>
      <c r="E107" s="348">
        <f>(E95-E88)-(E106-E103)</f>
        <v>652062.69999999995</v>
      </c>
      <c r="F107" s="348">
        <f>(F95-F88)-(F106-F103)</f>
        <v>440701.41487999994</v>
      </c>
      <c r="G107" s="348">
        <f>(G95-G88)-(G106-G103)</f>
        <v>1205136.5</v>
      </c>
    </row>
    <row r="108" spans="1:7">
      <c r="A108" s="554" t="s">
        <v>136</v>
      </c>
      <c r="B108" s="554"/>
      <c r="C108" s="553" t="s">
        <v>135</v>
      </c>
      <c r="D108" s="552">
        <f>D107-D85-D86+D100+D101</f>
        <v>801784.21614000015</v>
      </c>
      <c r="E108" s="552">
        <f>E107-E85-E86+E100+E101</f>
        <v>704565.2</v>
      </c>
      <c r="F108" s="552">
        <f>F107-F85-F86+F100+F101</f>
        <v>867796.70502999984</v>
      </c>
      <c r="G108" s="552">
        <f>G107-G85-G86+G100+G101</f>
        <v>755499.2</v>
      </c>
    </row>
    <row r="109" spans="1:7">
      <c r="A109" s="534"/>
      <c r="B109" s="534"/>
      <c r="C109" s="533"/>
    </row>
    <row r="110" spans="1:7" s="512" customFormat="1">
      <c r="A110" s="550" t="s">
        <v>134</v>
      </c>
      <c r="B110" s="551"/>
      <c r="C110" s="550"/>
    </row>
    <row r="111" spans="1:7" s="516" customFormat="1">
      <c r="A111" s="532">
        <v>10</v>
      </c>
      <c r="B111" s="531"/>
      <c r="C111" s="531" t="s">
        <v>133</v>
      </c>
      <c r="D111" s="326">
        <f>D112+D117</f>
        <v>6590996.6641600002</v>
      </c>
      <c r="E111" s="326">
        <f>E112+E117</f>
        <v>0</v>
      </c>
      <c r="F111" s="326">
        <f>F112+F117</f>
        <v>7297938.6374899996</v>
      </c>
      <c r="G111" s="326">
        <f>G112+G117</f>
        <v>0</v>
      </c>
    </row>
    <row r="112" spans="1:7" s="516" customFormat="1">
      <c r="A112" s="539" t="s">
        <v>132</v>
      </c>
      <c r="B112" s="519"/>
      <c r="C112" s="519" t="s">
        <v>131</v>
      </c>
      <c r="D112" s="326">
        <f>D113+D114+D115+D116</f>
        <v>5287710.3342599999</v>
      </c>
      <c r="E112" s="326">
        <f>E113+E114+E115+E116</f>
        <v>0</v>
      </c>
      <c r="F112" s="326">
        <f>F113+F114+F115+F116</f>
        <v>6190003.8264899999</v>
      </c>
      <c r="G112" s="326">
        <f>G113+G114+G115+G116</f>
        <v>0</v>
      </c>
    </row>
    <row r="113" spans="1:7" s="516" customFormat="1">
      <c r="A113" s="544" t="s">
        <v>130</v>
      </c>
      <c r="B113" s="528"/>
      <c r="C113" s="528" t="s">
        <v>129</v>
      </c>
      <c r="D113" s="322">
        <f>1425640.78+3049351.193</f>
        <v>4474991.9730000002</v>
      </c>
      <c r="E113" s="321"/>
      <c r="F113" s="835">
        <v>5450093.0767999999</v>
      </c>
      <c r="G113" s="322">
        <v>0</v>
      </c>
    </row>
    <row r="114" spans="1:7" s="546" customFormat="1" ht="15" customHeight="1">
      <c r="A114" s="543">
        <v>102</v>
      </c>
      <c r="B114" s="549"/>
      <c r="C114" s="549" t="s">
        <v>128</v>
      </c>
      <c r="D114" s="522">
        <v>180191.96059999999</v>
      </c>
      <c r="E114" s="548"/>
      <c r="F114" s="836">
        <v>141707.24405000001</v>
      </c>
      <c r="G114" s="522">
        <v>0</v>
      </c>
    </row>
    <row r="115" spans="1:7" s="516" customFormat="1">
      <c r="A115" s="544">
        <v>104</v>
      </c>
      <c r="B115" s="528"/>
      <c r="C115" s="528" t="s">
        <v>127</v>
      </c>
      <c r="D115" s="322">
        <v>571282.70698999998</v>
      </c>
      <c r="E115" s="321"/>
      <c r="F115" s="835">
        <v>539586.00857000006</v>
      </c>
      <c r="G115" s="322">
        <v>0</v>
      </c>
    </row>
    <row r="116" spans="1:7" s="516" customFormat="1">
      <c r="A116" s="544">
        <v>106</v>
      </c>
      <c r="B116" s="528"/>
      <c r="C116" s="528" t="s">
        <v>126</v>
      </c>
      <c r="D116" s="322">
        <v>61243.693670000001</v>
      </c>
      <c r="E116" s="321"/>
      <c r="F116" s="835">
        <v>58617.497069999998</v>
      </c>
      <c r="G116" s="322">
        <v>0</v>
      </c>
    </row>
    <row r="117" spans="1:7" s="516" customFormat="1">
      <c r="A117" s="539" t="s">
        <v>125</v>
      </c>
      <c r="B117" s="519"/>
      <c r="C117" s="519" t="s">
        <v>124</v>
      </c>
      <c r="D117" s="326">
        <f>D118+D119+D120</f>
        <v>1303286.3299</v>
      </c>
      <c r="E117" s="326">
        <f>E118+E119+E120</f>
        <v>0</v>
      </c>
      <c r="F117" s="326">
        <f>F118+F119+F120</f>
        <v>1107934.811</v>
      </c>
      <c r="G117" s="326">
        <f>G118+G119+G120</f>
        <v>0</v>
      </c>
    </row>
    <row r="118" spans="1:7" s="516" customFormat="1">
      <c r="A118" s="544">
        <v>107</v>
      </c>
      <c r="B118" s="528"/>
      <c r="C118" s="528" t="s">
        <v>123</v>
      </c>
      <c r="D118" s="322">
        <v>284028.6397</v>
      </c>
      <c r="E118" s="321"/>
      <c r="F118" s="835">
        <v>96434.034849999996</v>
      </c>
      <c r="G118" s="322">
        <v>0</v>
      </c>
    </row>
    <row r="119" spans="1:7" s="516" customFormat="1">
      <c r="A119" s="544">
        <v>108</v>
      </c>
      <c r="B119" s="528"/>
      <c r="C119" s="528" t="s">
        <v>122</v>
      </c>
      <c r="D119" s="322">
        <v>1019257.6902000001</v>
      </c>
      <c r="E119" s="321"/>
      <c r="F119" s="835">
        <v>1011500.7761499999</v>
      </c>
      <c r="G119" s="322">
        <v>0</v>
      </c>
    </row>
    <row r="120" spans="1:7" s="538" customFormat="1" ht="25.5">
      <c r="A120" s="543">
        <v>109</v>
      </c>
      <c r="B120" s="542"/>
      <c r="C120" s="542" t="s">
        <v>121</v>
      </c>
      <c r="D120" s="540">
        <v>0</v>
      </c>
      <c r="E120" s="541"/>
      <c r="F120" s="838">
        <v>0</v>
      </c>
      <c r="G120" s="540">
        <v>0</v>
      </c>
    </row>
    <row r="121" spans="1:7" s="516" customFormat="1">
      <c r="A121" s="539">
        <v>14</v>
      </c>
      <c r="B121" s="519"/>
      <c r="C121" s="519" t="s">
        <v>120</v>
      </c>
      <c r="D121" s="327">
        <f>SUM(D122:D130)</f>
        <v>14237719.720179999</v>
      </c>
      <c r="E121" s="327">
        <f>SUM(E122:E130)</f>
        <v>0</v>
      </c>
      <c r="F121" s="327">
        <f>SUM(F122:F130)</f>
        <v>14063378.33987</v>
      </c>
      <c r="G121" s="327">
        <f>SUM(G122:G130)</f>
        <v>0</v>
      </c>
    </row>
    <row r="122" spans="1:7" s="516" customFormat="1">
      <c r="A122" s="537" t="s">
        <v>119</v>
      </c>
      <c r="B122" s="526"/>
      <c r="C122" s="526" t="s">
        <v>118</v>
      </c>
      <c r="D122" s="317">
        <f>7716008.296+76489.441</f>
        <v>7792497.7369999997</v>
      </c>
      <c r="E122" s="316"/>
      <c r="F122" s="257">
        <v>8004174.4333999995</v>
      </c>
      <c r="G122" s="317">
        <v>0</v>
      </c>
    </row>
    <row r="123" spans="1:7" s="516" customFormat="1">
      <c r="A123" s="537">
        <v>144</v>
      </c>
      <c r="B123" s="526"/>
      <c r="C123" s="526" t="s">
        <v>117</v>
      </c>
      <c r="D123" s="322">
        <f>1219157.17435 + 73292.384</f>
        <v>1292449.5583500001</v>
      </c>
      <c r="E123" s="316"/>
      <c r="F123" s="835">
        <v>849586.16075000004</v>
      </c>
      <c r="G123" s="322">
        <v>0</v>
      </c>
    </row>
    <row r="124" spans="1:7" s="516" customFormat="1">
      <c r="A124" s="537">
        <v>145</v>
      </c>
      <c r="B124" s="526"/>
      <c r="C124" s="526" t="s">
        <v>116</v>
      </c>
      <c r="D124" s="322">
        <v>2522619.74071</v>
      </c>
      <c r="E124" s="304"/>
      <c r="F124" s="835">
        <v>2543514.2677099998</v>
      </c>
      <c r="G124" s="322">
        <v>0</v>
      </c>
    </row>
    <row r="125" spans="1:7" s="516" customFormat="1">
      <c r="A125" s="537">
        <v>146</v>
      </c>
      <c r="B125" s="526"/>
      <c r="C125" s="526" t="s">
        <v>115</v>
      </c>
      <c r="D125" s="322">
        <v>2630152.6841199999</v>
      </c>
      <c r="E125" s="304"/>
      <c r="F125" s="835">
        <v>2666103.4780100002</v>
      </c>
      <c r="G125" s="322">
        <v>0</v>
      </c>
    </row>
    <row r="126" spans="1:7" s="538" customFormat="1" ht="29.45" customHeight="1">
      <c r="A126" s="524" t="s">
        <v>114</v>
      </c>
      <c r="B126" s="523"/>
      <c r="C126" s="523" t="s">
        <v>113</v>
      </c>
      <c r="D126" s="311">
        <v>0</v>
      </c>
      <c r="E126" s="339"/>
      <c r="F126" s="837">
        <v>0</v>
      </c>
      <c r="G126" s="311">
        <v>0</v>
      </c>
    </row>
    <row r="127" spans="1:7" s="516" customFormat="1">
      <c r="A127" s="537">
        <v>1484</v>
      </c>
      <c r="B127" s="526"/>
      <c r="C127" s="526" t="s">
        <v>112</v>
      </c>
      <c r="D127" s="317">
        <v>0</v>
      </c>
      <c r="E127" s="304"/>
      <c r="F127" s="257">
        <v>0</v>
      </c>
      <c r="G127" s="317">
        <v>0</v>
      </c>
    </row>
    <row r="128" spans="1:7" s="516" customFormat="1">
      <c r="A128" s="537">
        <v>1485</v>
      </c>
      <c r="B128" s="526"/>
      <c r="C128" s="526" t="s">
        <v>111</v>
      </c>
      <c r="D128" s="317">
        <v>0</v>
      </c>
      <c r="E128" s="304"/>
      <c r="F128" s="257">
        <v>0</v>
      </c>
      <c r="G128" s="317">
        <v>0</v>
      </c>
    </row>
    <row r="129" spans="1:7" s="516" customFormat="1">
      <c r="A129" s="537">
        <v>1486</v>
      </c>
      <c r="B129" s="526"/>
      <c r="C129" s="526" t="s">
        <v>110</v>
      </c>
      <c r="D129" s="317">
        <v>0</v>
      </c>
      <c r="E129" s="304"/>
      <c r="F129" s="257">
        <v>0</v>
      </c>
      <c r="G129" s="317">
        <v>0</v>
      </c>
    </row>
    <row r="130" spans="1:7" s="516" customFormat="1">
      <c r="A130" s="536">
        <v>1489</v>
      </c>
      <c r="B130" s="535"/>
      <c r="C130" s="535" t="s">
        <v>109</v>
      </c>
      <c r="D130" s="333">
        <v>0</v>
      </c>
      <c r="E130" s="332"/>
      <c r="F130" s="257">
        <v>0</v>
      </c>
      <c r="G130" s="333">
        <v>0</v>
      </c>
    </row>
    <row r="131" spans="1:7" s="512" customFormat="1">
      <c r="A131" s="515">
        <v>1</v>
      </c>
      <c r="B131" s="514"/>
      <c r="C131" s="515" t="s">
        <v>108</v>
      </c>
      <c r="D131" s="295">
        <f>D111+D121</f>
        <v>20828716.384339999</v>
      </c>
      <c r="E131" s="295">
        <f>E111+E121</f>
        <v>0</v>
      </c>
      <c r="F131" s="295">
        <f>F111+F121</f>
        <v>21361316.977359999</v>
      </c>
      <c r="G131" s="295">
        <f>G111+G121</f>
        <v>0</v>
      </c>
    </row>
    <row r="132" spans="1:7" s="512" customFormat="1">
      <c r="A132" s="534"/>
      <c r="B132" s="534"/>
      <c r="C132" s="533"/>
    </row>
    <row r="133" spans="1:7" s="516" customFormat="1">
      <c r="A133" s="532">
        <v>20</v>
      </c>
      <c r="B133" s="531"/>
      <c r="C133" s="531" t="s">
        <v>107</v>
      </c>
      <c r="D133" s="329">
        <f>D134+D140</f>
        <v>12374766.418639999</v>
      </c>
      <c r="E133" s="329">
        <f>E134+E140</f>
        <v>0</v>
      </c>
      <c r="F133" s="329">
        <f>F134+F140</f>
        <v>13010268.700549997</v>
      </c>
      <c r="G133" s="329">
        <f>G134+G140</f>
        <v>0</v>
      </c>
    </row>
    <row r="134" spans="1:7" s="516" customFormat="1">
      <c r="A134" s="520" t="s">
        <v>106</v>
      </c>
      <c r="B134" s="519"/>
      <c r="C134" s="519" t="s">
        <v>105</v>
      </c>
      <c r="D134" s="327">
        <f>D135+D136+D138+D139</f>
        <v>5144853.3460499998</v>
      </c>
      <c r="E134" s="326">
        <f>E135+E136+E138+E139</f>
        <v>0</v>
      </c>
      <c r="F134" s="327">
        <f>F135+F136+F138+F139</f>
        <v>5041627.4833999993</v>
      </c>
      <c r="G134" s="326">
        <f>G135+G136+G138+G139</f>
        <v>0</v>
      </c>
    </row>
    <row r="135" spans="1:7" s="525" customFormat="1">
      <c r="A135" s="527">
        <v>200</v>
      </c>
      <c r="B135" s="526"/>
      <c r="C135" s="526" t="s">
        <v>104</v>
      </c>
      <c r="D135" s="322">
        <v>1683595.4460400001</v>
      </c>
      <c r="E135" s="316"/>
      <c r="F135" s="835">
        <v>1572433.06537</v>
      </c>
      <c r="G135" s="322">
        <v>0</v>
      </c>
    </row>
    <row r="136" spans="1:7" s="525" customFormat="1">
      <c r="A136" s="527">
        <v>201</v>
      </c>
      <c r="B136" s="526"/>
      <c r="C136" s="526" t="s">
        <v>103</v>
      </c>
      <c r="D136" s="322">
        <v>1439749.49474</v>
      </c>
      <c r="E136" s="316"/>
      <c r="F136" s="835">
        <v>1218059.97841</v>
      </c>
      <c r="G136" s="322">
        <v>0</v>
      </c>
    </row>
    <row r="137" spans="1:7" s="525" customFormat="1">
      <c r="A137" s="529" t="s">
        <v>102</v>
      </c>
      <c r="B137" s="528"/>
      <c r="C137" s="528" t="s">
        <v>101</v>
      </c>
      <c r="D137" s="322">
        <v>159.48400000000001</v>
      </c>
      <c r="E137" s="321"/>
      <c r="F137" s="835">
        <v>2828.7333599999997</v>
      </c>
      <c r="G137" s="322">
        <v>0</v>
      </c>
    </row>
    <row r="138" spans="1:7" s="525" customFormat="1">
      <c r="A138" s="527">
        <v>204</v>
      </c>
      <c r="B138" s="526"/>
      <c r="C138" s="526" t="s">
        <v>100</v>
      </c>
      <c r="D138" s="322">
        <v>1589217.121</v>
      </c>
      <c r="E138" s="316"/>
      <c r="F138" s="835">
        <v>1872815.6787100001</v>
      </c>
      <c r="G138" s="322">
        <v>0</v>
      </c>
    </row>
    <row r="139" spans="1:7" s="525" customFormat="1">
      <c r="A139" s="527">
        <v>205</v>
      </c>
      <c r="B139" s="526"/>
      <c r="C139" s="526" t="s">
        <v>99</v>
      </c>
      <c r="D139" s="322">
        <v>432291.28427</v>
      </c>
      <c r="E139" s="316"/>
      <c r="F139" s="835">
        <v>378318.76091000001</v>
      </c>
      <c r="G139" s="322">
        <v>0</v>
      </c>
    </row>
    <row r="140" spans="1:7" s="525" customFormat="1">
      <c r="A140" s="520" t="s">
        <v>98</v>
      </c>
      <c r="B140" s="519"/>
      <c r="C140" s="519" t="s">
        <v>97</v>
      </c>
      <c r="D140" s="326">
        <f>D141+D143+D144</f>
        <v>7229913.07259</v>
      </c>
      <c r="E140" s="326">
        <f>E141+E143+E144</f>
        <v>0</v>
      </c>
      <c r="F140" s="326">
        <f>F141+F143+F144</f>
        <v>7968641.217149999</v>
      </c>
      <c r="G140" s="326">
        <f>G141+G143+G144</f>
        <v>0</v>
      </c>
    </row>
    <row r="141" spans="1:7" s="525" customFormat="1">
      <c r="A141" s="527">
        <v>206</v>
      </c>
      <c r="B141" s="526"/>
      <c r="C141" s="526" t="s">
        <v>96</v>
      </c>
      <c r="D141" s="322">
        <v>5070657.6646499997</v>
      </c>
      <c r="E141" s="304"/>
      <c r="F141" s="835">
        <v>6275783.9283599993</v>
      </c>
      <c r="G141" s="322">
        <v>0</v>
      </c>
    </row>
    <row r="142" spans="1:7" s="525" customFormat="1">
      <c r="A142" s="529" t="s">
        <v>95</v>
      </c>
      <c r="B142" s="528"/>
      <c r="C142" s="528" t="s">
        <v>94</v>
      </c>
      <c r="D142" s="322">
        <v>672288.28300000005</v>
      </c>
      <c r="E142" s="328"/>
      <c r="F142" s="835">
        <v>702995.17402000003</v>
      </c>
      <c r="G142" s="322">
        <v>0</v>
      </c>
    </row>
    <row r="143" spans="1:7" s="525" customFormat="1">
      <c r="A143" s="527">
        <v>208</v>
      </c>
      <c r="B143" s="526"/>
      <c r="C143" s="526" t="s">
        <v>93</v>
      </c>
      <c r="D143" s="322">
        <v>1311395.2092200001</v>
      </c>
      <c r="E143" s="304"/>
      <c r="F143" s="835">
        <v>835170.79530999996</v>
      </c>
      <c r="G143" s="322">
        <v>0</v>
      </c>
    </row>
    <row r="144" spans="1:7" s="521" customFormat="1" ht="25.5">
      <c r="A144" s="524">
        <v>209</v>
      </c>
      <c r="B144" s="523"/>
      <c r="C144" s="523" t="s">
        <v>92</v>
      </c>
      <c r="D144" s="522">
        <v>847860.19871999999</v>
      </c>
      <c r="E144" s="339"/>
      <c r="F144" s="836">
        <v>857686.49348000006</v>
      </c>
      <c r="G144" s="522">
        <v>0</v>
      </c>
    </row>
    <row r="145" spans="1:7" s="516" customFormat="1">
      <c r="A145" s="520">
        <v>29</v>
      </c>
      <c r="B145" s="519"/>
      <c r="C145" s="519" t="s">
        <v>61</v>
      </c>
      <c r="D145" s="322">
        <v>8453949.96545</v>
      </c>
      <c r="E145" s="304"/>
      <c r="F145" s="835">
        <v>8351048.2768100007</v>
      </c>
      <c r="G145" s="322">
        <v>0</v>
      </c>
    </row>
    <row r="146" spans="1:7" s="516" customFormat="1">
      <c r="A146" s="518" t="s">
        <v>91</v>
      </c>
      <c r="B146" s="517"/>
      <c r="C146" s="517" t="s">
        <v>90</v>
      </c>
      <c r="D146" s="300">
        <v>6043124.0659999996</v>
      </c>
      <c r="E146" s="299"/>
      <c r="F146" s="835">
        <v>5766023.30363</v>
      </c>
      <c r="G146" s="300">
        <v>0</v>
      </c>
    </row>
    <row r="147" spans="1:7" s="512" customFormat="1">
      <c r="A147" s="515">
        <v>2</v>
      </c>
      <c r="B147" s="514"/>
      <c r="C147" s="513" t="s">
        <v>89</v>
      </c>
      <c r="D147" s="295">
        <f>D133+D145</f>
        <v>20828716.384089999</v>
      </c>
      <c r="E147" s="295">
        <f>E133+E145</f>
        <v>0</v>
      </c>
      <c r="F147" s="295">
        <f>F133+F145</f>
        <v>21361316.977359999</v>
      </c>
      <c r="G147" s="295">
        <f>G133+G145</f>
        <v>0</v>
      </c>
    </row>
    <row r="148" spans="1:7" ht="7.5" customHeight="1"/>
    <row r="149" spans="1:7" ht="13.5" customHeight="1">
      <c r="A149" s="511" t="s">
        <v>88</v>
      </c>
      <c r="B149" s="509"/>
      <c r="C149" s="510" t="s">
        <v>87</v>
      </c>
      <c r="D149" s="509"/>
      <c r="E149" s="509"/>
      <c r="F149" s="509"/>
      <c r="G149" s="509"/>
    </row>
    <row r="150" spans="1:7">
      <c r="A150" s="498" t="s">
        <v>86</v>
      </c>
      <c r="B150" s="494"/>
      <c r="C150" s="493" t="s">
        <v>85</v>
      </c>
      <c r="D150" s="268">
        <f>D77+SUM(D8:D12)-D30-D31+D16-D33+D59+D63-D73+D64-D74-D54+D20-D35</f>
        <v>613073.2760499994</v>
      </c>
      <c r="E150" s="268">
        <f>E77+SUM(E8:E12)-E30-E31+E16-E33+E59+E63-E73+E64-E74-E54+E20-E35</f>
        <v>512208.23899999831</v>
      </c>
      <c r="F150" s="268">
        <f>F77+SUM(F8:F12)-F30-F31+F16-F33+F59+F63-F73+F64-F74-F54+F20-F35</f>
        <v>542491.64491999568</v>
      </c>
      <c r="G150" s="268">
        <f>G77+SUM(G8:G12)-G30-G31+G16-G33+G59+G63-G73+G64-G74-G54+G20-G35</f>
        <v>599931.45835000067</v>
      </c>
    </row>
    <row r="151" spans="1:7">
      <c r="A151" s="489" t="s">
        <v>84</v>
      </c>
      <c r="B151" s="488"/>
      <c r="C151" s="487" t="s">
        <v>83</v>
      </c>
      <c r="D151" s="269">
        <f>IF(D177=0,0,D150/D177)</f>
        <v>4.5307669384696436E-2</v>
      </c>
      <c r="E151" s="269">
        <f>IF(E177=0,0,E150/E177)</f>
        <v>3.7016743566973556E-2</v>
      </c>
      <c r="F151" s="269">
        <f>IF(F177=0,0,F150/F177)</f>
        <v>3.9719917325335342E-2</v>
      </c>
      <c r="G151" s="269">
        <f>IF(G177=0,0,G150/G177)</f>
        <v>4.2688273224451893E-2</v>
      </c>
    </row>
    <row r="152" spans="1:7" s="504" customFormat="1" ht="25.5">
      <c r="A152" s="508" t="s">
        <v>81</v>
      </c>
      <c r="B152" s="507"/>
      <c r="C152" s="506" t="s">
        <v>82</v>
      </c>
      <c r="D152" s="505">
        <f>IF(D107=0,0,D150/D107)</f>
        <v>1.0171594795625163</v>
      </c>
      <c r="E152" s="505">
        <f>IF(E107=0,0,E150/E107)</f>
        <v>0.78551991855997649</v>
      </c>
      <c r="F152" s="505">
        <f>IF(F107=0,0,F150/F107)</f>
        <v>1.2309732317689803</v>
      </c>
      <c r="G152" s="505">
        <f>IF(G107=0,0,G150/G107)</f>
        <v>0.49781203900968951</v>
      </c>
    </row>
    <row r="153" spans="1:7" s="504" customFormat="1" ht="25.5">
      <c r="A153" s="497" t="s">
        <v>81</v>
      </c>
      <c r="B153" s="500"/>
      <c r="C153" s="499" t="s">
        <v>80</v>
      </c>
      <c r="D153" s="274">
        <f>IF(0=D108,0,D150/D108)</f>
        <v>0.76463624964020271</v>
      </c>
      <c r="E153" s="274">
        <f>IF(0=E108,0,E150/E108)</f>
        <v>0.72698486811440355</v>
      </c>
      <c r="F153" s="274">
        <f>IF(0=F108,0,F150/F108)</f>
        <v>0.62513678811587758</v>
      </c>
      <c r="G153" s="274">
        <f>IF(0=G108,0,G150/G108)</f>
        <v>0.79408615965443874</v>
      </c>
    </row>
    <row r="154" spans="1:7" ht="25.5">
      <c r="A154" s="503" t="s">
        <v>79</v>
      </c>
      <c r="B154" s="502"/>
      <c r="C154" s="501" t="s">
        <v>78</v>
      </c>
      <c r="D154" s="279">
        <f>D150-D107</f>
        <v>10342.545649999287</v>
      </c>
      <c r="E154" s="279">
        <f>E150-E107</f>
        <v>-139854.46100000164</v>
      </c>
      <c r="F154" s="279">
        <f>F150-F107</f>
        <v>101790.23003999575</v>
      </c>
      <c r="G154" s="279">
        <f>G150-G107</f>
        <v>-605205.04164999933</v>
      </c>
    </row>
    <row r="155" spans="1:7" ht="25.5">
      <c r="A155" s="497" t="s">
        <v>77</v>
      </c>
      <c r="B155" s="500"/>
      <c r="C155" s="499" t="s">
        <v>76</v>
      </c>
      <c r="D155" s="282">
        <f>D150-D108</f>
        <v>-188710.94009000075</v>
      </c>
      <c r="E155" s="282">
        <f>E150-E108</f>
        <v>-192356.96100000164</v>
      </c>
      <c r="F155" s="282">
        <f>F150-F108</f>
        <v>-325305.06011000415</v>
      </c>
      <c r="G155" s="282">
        <f>G150-G108</f>
        <v>-155567.74164999928</v>
      </c>
    </row>
    <row r="156" spans="1:7">
      <c r="A156" s="498" t="s">
        <v>75</v>
      </c>
      <c r="B156" s="494"/>
      <c r="C156" s="493" t="s">
        <v>74</v>
      </c>
      <c r="D156" s="277">
        <f>D135+D136-D137+D141-D142</f>
        <v>7521554.8384299995</v>
      </c>
      <c r="E156" s="277">
        <f>E135+E136-E137+E141-E142</f>
        <v>0</v>
      </c>
      <c r="F156" s="277">
        <f>F135+F136-F137+F141-F142</f>
        <v>8360453.0647599995</v>
      </c>
      <c r="G156" s="277">
        <f>G135+G136-G137+G141-G142</f>
        <v>0</v>
      </c>
    </row>
    <row r="157" spans="1:7">
      <c r="A157" s="492" t="s">
        <v>73</v>
      </c>
      <c r="B157" s="491"/>
      <c r="C157" s="490" t="s">
        <v>72</v>
      </c>
      <c r="D157" s="273">
        <f>IF(D177=0,0,D156/D177)</f>
        <v>0.55586197146629091</v>
      </c>
      <c r="E157" s="273">
        <f>IF(E177=0,0,E156/E177)</f>
        <v>0</v>
      </c>
      <c r="F157" s="273">
        <f>IF(F177=0,0,F156/F177)</f>
        <v>0.61213201649140025</v>
      </c>
      <c r="G157" s="273">
        <f>IF(G177=0,0,G156/G177)</f>
        <v>0</v>
      </c>
    </row>
    <row r="158" spans="1:7">
      <c r="A158" s="498" t="s">
        <v>71</v>
      </c>
      <c r="B158" s="494"/>
      <c r="C158" s="493" t="s">
        <v>70</v>
      </c>
      <c r="D158" s="277">
        <f>D133-D142-D111</f>
        <v>5111481.4714799989</v>
      </c>
      <c r="E158" s="277">
        <f>E133-E142-E111</f>
        <v>0</v>
      </c>
      <c r="F158" s="277">
        <f>F133-F142-F111</f>
        <v>5009334.8890399979</v>
      </c>
      <c r="G158" s="277">
        <f>G133-G142-G111</f>
        <v>0</v>
      </c>
    </row>
    <row r="159" spans="1:7">
      <c r="A159" s="489" t="s">
        <v>69</v>
      </c>
      <c r="B159" s="488"/>
      <c r="C159" s="487" t="s">
        <v>68</v>
      </c>
      <c r="D159" s="265">
        <f>D121-D123-D124-D142-D145</f>
        <v>1296412.1726699993</v>
      </c>
      <c r="E159" s="265">
        <f>E121-E123-E124-E142-E145</f>
        <v>0</v>
      </c>
      <c r="F159" s="265">
        <f>F121-F123-F124-F142-F145</f>
        <v>1616234.4605799997</v>
      </c>
      <c r="G159" s="265">
        <f>G121-G123-G124-G142-G145</f>
        <v>0</v>
      </c>
    </row>
    <row r="160" spans="1:7">
      <c r="A160" s="489" t="s">
        <v>66</v>
      </c>
      <c r="B160" s="488"/>
      <c r="C160" s="487" t="s">
        <v>67</v>
      </c>
      <c r="D160" s="276">
        <f>IF(D175=0,"-",1000*D158/D175)</f>
        <v>3594.8375031067685</v>
      </c>
      <c r="E160" s="276">
        <f>IF(E175=0,"-",1000*E158/E175)</f>
        <v>0</v>
      </c>
      <c r="F160" s="276">
        <f>IF(F175=0,"-",1000*F158/F175)</f>
        <v>3470.4239668679443</v>
      </c>
      <c r="G160" s="276">
        <f>IF(G175=0,"-",1000*G158/G175)</f>
        <v>0</v>
      </c>
    </row>
    <row r="161" spans="1:7">
      <c r="A161" s="489" t="s">
        <v>66</v>
      </c>
      <c r="B161" s="488"/>
      <c r="C161" s="487" t="s">
        <v>65</v>
      </c>
      <c r="D161" s="265">
        <f>IF(D175=0,0,1000*(D159/D175))</f>
        <v>911.7495825430143</v>
      </c>
      <c r="E161" s="265">
        <f>IF(E175=0,0,1000*(E159/E175))</f>
        <v>0</v>
      </c>
      <c r="F161" s="265">
        <f>IF(F175=0,0,1000*(F159/F175))</f>
        <v>1119.7132817665622</v>
      </c>
      <c r="G161" s="265">
        <f>IF(G175=0,0,1000*(G159/G175))</f>
        <v>0</v>
      </c>
    </row>
    <row r="162" spans="1:7">
      <c r="A162" s="492" t="s">
        <v>64</v>
      </c>
      <c r="B162" s="491"/>
      <c r="C162" s="490" t="s">
        <v>63</v>
      </c>
      <c r="D162" s="273">
        <f>IF((D22+D23+D65+D66)=0,0,D158/(D22+D23+D65+D66))</f>
        <v>0.81818041659402363</v>
      </c>
      <c r="E162" s="273">
        <f>IF((E22+E23+E65+E66)=0,0,E158/(E22+E23+E65+E66))</f>
        <v>0</v>
      </c>
      <c r="F162" s="273">
        <f>IF((F22+F23+F65+F66)=0,0,F158/(F22+F23+F65+F66))</f>
        <v>0.7943293236218093</v>
      </c>
      <c r="G162" s="273">
        <f>IF((G22+G23+G65+G66)=0,0,G158/(G22+G23+G65+G66))</f>
        <v>0</v>
      </c>
    </row>
    <row r="163" spans="1:7">
      <c r="A163" s="489" t="s">
        <v>62</v>
      </c>
      <c r="B163" s="488"/>
      <c r="C163" s="487" t="s">
        <v>260</v>
      </c>
      <c r="D163" s="268">
        <f>D145</f>
        <v>8453949.96545</v>
      </c>
      <c r="E163" s="268">
        <f>E145</f>
        <v>0</v>
      </c>
      <c r="F163" s="268">
        <f>F145</f>
        <v>8351048.2768100007</v>
      </c>
      <c r="G163" s="268">
        <f>G145</f>
        <v>0</v>
      </c>
    </row>
    <row r="164" spans="1:7" ht="25.5">
      <c r="A164" s="497" t="s">
        <v>60</v>
      </c>
      <c r="B164" s="496"/>
      <c r="C164" s="495" t="s">
        <v>59</v>
      </c>
      <c r="D164" s="274">
        <f>IF(D178=0,0,D146/D178)</f>
        <v>0.44536496481013632</v>
      </c>
      <c r="E164" s="274">
        <f>IF(E178=0,0,E146/E178)</f>
        <v>0</v>
      </c>
      <c r="F164" s="274">
        <f>IF(F178=0,0,F146/F178)</f>
        <v>0.41840726409767193</v>
      </c>
      <c r="G164" s="274">
        <f>IF(G178=0,0,G146/G178)</f>
        <v>0</v>
      </c>
    </row>
    <row r="165" spans="1:7">
      <c r="A165" s="486" t="s">
        <v>58</v>
      </c>
      <c r="B165" s="485"/>
      <c r="C165" s="484" t="s">
        <v>57</v>
      </c>
      <c r="D165" s="262">
        <f>IF(D177=0,0,D180/D177)</f>
        <v>5.0135800048957083E-2</v>
      </c>
      <c r="E165" s="262">
        <f>IF(E177=0,0,E180/E177)</f>
        <v>3.8845463853361503E-2</v>
      </c>
      <c r="F165" s="262">
        <f>IF(F177=0,0,F180/F177)</f>
        <v>5.3142411411149608E-2</v>
      </c>
      <c r="G165" s="262">
        <f>IF(G177=0,0,G180/G177)</f>
        <v>5.0455719741398626E-2</v>
      </c>
    </row>
    <row r="166" spans="1:7">
      <c r="A166" s="489" t="s">
        <v>56</v>
      </c>
      <c r="B166" s="488"/>
      <c r="C166" s="487" t="s">
        <v>55</v>
      </c>
      <c r="D166" s="268">
        <f>D55</f>
        <v>280596.37572999997</v>
      </c>
      <c r="E166" s="268">
        <f>E55</f>
        <v>272165.91799999995</v>
      </c>
      <c r="F166" s="268">
        <f>F55</f>
        <v>312250.45682999998</v>
      </c>
      <c r="G166" s="268">
        <f>G55</f>
        <v>229396.72700000001</v>
      </c>
    </row>
    <row r="167" spans="1:7">
      <c r="A167" s="492" t="s">
        <v>54</v>
      </c>
      <c r="B167" s="491"/>
      <c r="C167" s="490" t="s">
        <v>53</v>
      </c>
      <c r="D167" s="273">
        <f>IF(0=D111,0,(D44+D45+D46+D47+D48)/D111)</f>
        <v>1.2846973974427198E-2</v>
      </c>
      <c r="E167" s="273">
        <f>IF(0=E111,0,(E44+E45+E46+E47+E48)/E111)</f>
        <v>0</v>
      </c>
      <c r="F167" s="273">
        <f>IF(0=F111,0,(F44+F45+F46+F47+F48)/F111)</f>
        <v>1.1152936482896201E-2</v>
      </c>
      <c r="G167" s="273">
        <f>IF(0=G111,0,(G44+G45+G46+G47+G48)/G111)</f>
        <v>0</v>
      </c>
    </row>
    <row r="168" spans="1:7">
      <c r="A168" s="489" t="s">
        <v>52</v>
      </c>
      <c r="B168" s="494"/>
      <c r="C168" s="493" t="s">
        <v>51</v>
      </c>
      <c r="D168" s="268">
        <f>D38-D44</f>
        <v>87423.803379999983</v>
      </c>
      <c r="E168" s="268">
        <f>E38-E44</f>
        <v>80172.821999999986</v>
      </c>
      <c r="F168" s="268">
        <f>F38-F44</f>
        <v>79505.026949999999</v>
      </c>
      <c r="G168" s="268">
        <f>G38-G44</f>
        <v>83536.062999999995</v>
      </c>
    </row>
    <row r="169" spans="1:7">
      <c r="A169" s="492" t="s">
        <v>50</v>
      </c>
      <c r="B169" s="491"/>
      <c r="C169" s="490" t="s">
        <v>49</v>
      </c>
      <c r="D169" s="269">
        <f>IF(D177=0,0,D168/D177)</f>
        <v>6.4608407096360008E-3</v>
      </c>
      <c r="E169" s="269">
        <f>IF(E177=0,0,E168/E177)</f>
        <v>5.7940044049440316E-3</v>
      </c>
      <c r="F169" s="269">
        <f>IF(F177=0,0,F168/F177)</f>
        <v>5.8211644860784468E-3</v>
      </c>
      <c r="G169" s="269">
        <f>IF(G177=0,0,G168/G177)</f>
        <v>5.9440294917133879E-3</v>
      </c>
    </row>
    <row r="170" spans="1:7">
      <c r="A170" s="489" t="s">
        <v>48</v>
      </c>
      <c r="B170" s="488"/>
      <c r="C170" s="487" t="s">
        <v>47</v>
      </c>
      <c r="D170" s="268">
        <f>SUM(D82:D87)+SUM(D89:D94)</f>
        <v>865443.35420000006</v>
      </c>
      <c r="E170" s="268">
        <f>SUM(E82:E87)+SUM(E89:E94)</f>
        <v>799980.7</v>
      </c>
      <c r="F170" s="268">
        <f>SUM(F82:F87)+SUM(F89:F94)</f>
        <v>978733.65737999999</v>
      </c>
      <c r="G170" s="268">
        <f>SUM(G82:G87)+SUM(G89:G94)</f>
        <v>1307280</v>
      </c>
    </row>
    <row r="171" spans="1:7">
      <c r="A171" s="489" t="s">
        <v>46</v>
      </c>
      <c r="B171" s="488"/>
      <c r="C171" s="487" t="s">
        <v>45</v>
      </c>
      <c r="D171" s="265">
        <f>SUM(D96:D102)+SUM(D104:D105)</f>
        <v>262712.6238</v>
      </c>
      <c r="E171" s="265">
        <f>SUM(E96:E102)+SUM(E104:E105)</f>
        <v>147918</v>
      </c>
      <c r="F171" s="265">
        <f>SUM(F96:F102)+SUM(F104:F105)</f>
        <v>538032.24250000005</v>
      </c>
      <c r="G171" s="265">
        <f>SUM(G96:G102)+SUM(G104:G105)</f>
        <v>102143.5</v>
      </c>
    </row>
    <row r="172" spans="1:7">
      <c r="A172" s="486" t="s">
        <v>44</v>
      </c>
      <c r="B172" s="485"/>
      <c r="C172" s="484" t="s">
        <v>43</v>
      </c>
      <c r="D172" s="262">
        <f>IF(D184=0,0,D170/D184)</f>
        <v>6.3170136153134673E-2</v>
      </c>
      <c r="E172" s="262">
        <f>IF(E184=0,0,E170/E184)</f>
        <v>5.6997293499231258E-2</v>
      </c>
      <c r="F172" s="262">
        <f>IF(F184=0,0,F170/F184)</f>
        <v>6.9843512147676187E-2</v>
      </c>
      <c r="G172" s="262">
        <f>IF(G184=0,0,G170/G184)</f>
        <v>8.915590466570128E-2</v>
      </c>
    </row>
    <row r="173" spans="1:7">
      <c r="C173" s="483"/>
    </row>
    <row r="174" spans="1:7">
      <c r="A174" s="479" t="s">
        <v>42</v>
      </c>
      <c r="B174" s="477"/>
      <c r="C174" s="482"/>
      <c r="D174" s="260"/>
      <c r="E174" s="260"/>
      <c r="F174" s="260"/>
      <c r="G174" s="260"/>
    </row>
    <row r="175" spans="1:7" s="480" customFormat="1">
      <c r="A175" s="478" t="s">
        <v>41</v>
      </c>
      <c r="B175" s="477"/>
      <c r="C175" s="476" t="s">
        <v>259</v>
      </c>
      <c r="D175" s="481">
        <v>1421895</v>
      </c>
      <c r="E175" s="481">
        <v>1436100</v>
      </c>
      <c r="F175" s="481">
        <v>1443436</v>
      </c>
      <c r="G175" s="481">
        <v>1454761</v>
      </c>
    </row>
    <row r="176" spans="1:7">
      <c r="A176" s="479" t="s">
        <v>39</v>
      </c>
      <c r="B176" s="477"/>
      <c r="C176" s="476"/>
      <c r="D176" s="477"/>
      <c r="E176" s="477"/>
      <c r="F176" s="477"/>
      <c r="G176" s="477"/>
    </row>
    <row r="177" spans="1:7">
      <c r="A177" s="478" t="s">
        <v>38</v>
      </c>
      <c r="B177" s="477"/>
      <c r="C177" s="476" t="s">
        <v>37</v>
      </c>
      <c r="D177" s="475">
        <f>SUM(D22:D32)+SUM(D44:D53)+SUM(D65:D72)+D75</f>
        <v>13531335.519479999</v>
      </c>
      <c r="E177" s="475">
        <f>SUM(E22:E32)+SUM(E44:E53)+SUM(E65:E72)+E75</f>
        <v>13837204.184999999</v>
      </c>
      <c r="F177" s="475">
        <f>SUM(F22:F32)+SUM(F44:F53)+SUM(F65:F72)+F75</f>
        <v>13657924.825889995</v>
      </c>
      <c r="G177" s="475">
        <f>SUM(G22:G32)+SUM(G44:G53)+SUM(G65:G72)+G75</f>
        <v>14053776.670600001</v>
      </c>
    </row>
    <row r="178" spans="1:7">
      <c r="A178" s="478" t="s">
        <v>36</v>
      </c>
      <c r="B178" s="477"/>
      <c r="C178" s="476" t="s">
        <v>35</v>
      </c>
      <c r="D178" s="475">
        <f>D78-D17-D20-D59-D63-D64</f>
        <v>13568925.585729999</v>
      </c>
      <c r="E178" s="475">
        <f>E78-E17-E20-E59-E63-E64</f>
        <v>13779978.527000001</v>
      </c>
      <c r="F178" s="475">
        <f>F78-F17-F20-F59-F63-F64</f>
        <v>13780887.184319999</v>
      </c>
      <c r="G178" s="475">
        <f>G78-G17-G20-G59-G63-G64</f>
        <v>14027222.30425</v>
      </c>
    </row>
    <row r="179" spans="1:7">
      <c r="A179" s="478"/>
      <c r="B179" s="477"/>
      <c r="C179" s="476" t="s">
        <v>34</v>
      </c>
      <c r="D179" s="475">
        <f>D178+D170</f>
        <v>14434368.939929999</v>
      </c>
      <c r="E179" s="475">
        <f>E178+E170</f>
        <v>14579959.227</v>
      </c>
      <c r="F179" s="475">
        <f>F178+F170</f>
        <v>14759620.841699999</v>
      </c>
      <c r="G179" s="475">
        <f>G178+G170</f>
        <v>15334502.30425</v>
      </c>
    </row>
    <row r="180" spans="1:7">
      <c r="A180" s="478" t="s">
        <v>33</v>
      </c>
      <c r="B180" s="477"/>
      <c r="C180" s="476" t="s">
        <v>32</v>
      </c>
      <c r="D180" s="475">
        <f>D38-D44+D8+D9+D10+D16-D33</f>
        <v>678404.33200000005</v>
      </c>
      <c r="E180" s="475">
        <f>E38-E44+E8+E9+E10+E16-E33</f>
        <v>537512.61499999999</v>
      </c>
      <c r="F180" s="475">
        <f>F38-F44+F8+F9+F10+F16-F33</f>
        <v>725815.06012000004</v>
      </c>
      <c r="G180" s="475">
        <f>G38-G44+G8+G9+G10+G16-G33</f>
        <v>709093.4169999999</v>
      </c>
    </row>
    <row r="181" spans="1:7" ht="27.6" customHeight="1">
      <c r="A181" s="474" t="s">
        <v>31</v>
      </c>
      <c r="B181" s="472"/>
      <c r="C181" s="471" t="s">
        <v>30</v>
      </c>
      <c r="D181" s="249">
        <f>D22+D23+D24+D25+D26+D29+SUM(D44:D47)+SUM(D49:D53)-D54+D32-D33+SUM(D65:D70)+D72</f>
        <v>13435345.895419998</v>
      </c>
      <c r="E181" s="249">
        <f>E22+E23+E24+E25+E26+E29+SUM(E44:E47)+SUM(E49:E53)-E54+E32-E33+SUM(E65:E70)+E72</f>
        <v>13736694.698000001</v>
      </c>
      <c r="F181" s="249">
        <f>F22+F23+F24+F25+F26+F29+SUM(F44:F47)+SUM(F49:F53)-F54+F32-F33+SUM(F65:F70)+F72</f>
        <v>13561845.812089998</v>
      </c>
      <c r="G181" s="249">
        <f>G22+G23+G24+G25+G26+G29+SUM(G44:G47)+SUM(G49:G53)-G54+G32-G33+SUM(G65:G70)+G72</f>
        <v>13944612.608600002</v>
      </c>
    </row>
    <row r="182" spans="1:7">
      <c r="A182" s="473" t="s">
        <v>29</v>
      </c>
      <c r="B182" s="472"/>
      <c r="C182" s="471" t="s">
        <v>28</v>
      </c>
      <c r="D182" s="249">
        <f>D181+D171</f>
        <v>13698058.519219998</v>
      </c>
      <c r="E182" s="249">
        <f>E181+E171</f>
        <v>13884612.698000001</v>
      </c>
      <c r="F182" s="249">
        <f>F181+F171</f>
        <v>14099878.054589998</v>
      </c>
      <c r="G182" s="249">
        <f>G181+G171</f>
        <v>14046756.108600002</v>
      </c>
    </row>
    <row r="183" spans="1:7">
      <c r="A183" s="473" t="s">
        <v>27</v>
      </c>
      <c r="B183" s="472"/>
      <c r="C183" s="471" t="s">
        <v>26</v>
      </c>
      <c r="D183" s="249">
        <f>D4+D5-D7+D38+D39+D40+D41+D43+D13-D16+D57+D58+D60+D62</f>
        <v>12834754.34843</v>
      </c>
      <c r="E183" s="249">
        <f>E4+E5-E7+E38+E39+E40+E41+E43+E13-E16+E57+E58+E60+E62</f>
        <v>13235434.859000001</v>
      </c>
      <c r="F183" s="249">
        <f>F4+F5-F7+F38+F39+F40+F41+F43+F13-F16+F57+F58+F60+F62</f>
        <v>13034502.89508</v>
      </c>
      <c r="G183" s="249">
        <f>G4+G5-G7+G38+G39+G40+G41+G43+G13-G16+G57+G58+G60+G62</f>
        <v>13355573.85025</v>
      </c>
    </row>
    <row r="184" spans="1:7">
      <c r="A184" s="473" t="s">
        <v>25</v>
      </c>
      <c r="B184" s="472"/>
      <c r="C184" s="471" t="s">
        <v>24</v>
      </c>
      <c r="D184" s="249">
        <f>D183+D170</f>
        <v>13700197.70263</v>
      </c>
      <c r="E184" s="249">
        <f>E183+E170</f>
        <v>14035415.559</v>
      </c>
      <c r="F184" s="249">
        <f>F183+F170</f>
        <v>14013236.55246</v>
      </c>
      <c r="G184" s="249">
        <f>G183+G170</f>
        <v>14662853.85025</v>
      </c>
    </row>
    <row r="185" spans="1:7">
      <c r="A185" s="473"/>
      <c r="B185" s="472"/>
      <c r="C185" s="471" t="s">
        <v>23</v>
      </c>
      <c r="D185" s="249">
        <f t="shared" ref="D185:G186" si="0">D181-D183</f>
        <v>600591.54698999785</v>
      </c>
      <c r="E185" s="249">
        <f t="shared" si="0"/>
        <v>501259.83899999969</v>
      </c>
      <c r="F185" s="249">
        <f t="shared" si="0"/>
        <v>527342.91700999811</v>
      </c>
      <c r="G185" s="249">
        <f t="shared" si="0"/>
        <v>589038.75835000165</v>
      </c>
    </row>
    <row r="186" spans="1:7">
      <c r="A186" s="473"/>
      <c r="B186" s="472"/>
      <c r="C186" s="471" t="s">
        <v>22</v>
      </c>
      <c r="D186" s="249">
        <f t="shared" si="0"/>
        <v>-2139.1834100019187</v>
      </c>
      <c r="E186" s="249">
        <f t="shared" si="0"/>
        <v>-150802.86099999957</v>
      </c>
      <c r="F186" s="249">
        <f t="shared" si="0"/>
        <v>86641.502129998058</v>
      </c>
      <c r="G186" s="249">
        <f t="shared" si="0"/>
        <v>-616097.74164999835</v>
      </c>
    </row>
  </sheetData>
  <sheetProtection selectLockedCells="1" sort="0" autoFilter="0" pivotTables="0"/>
  <autoFilter ref="A1:G79"/>
  <mergeCells count="2">
    <mergeCell ref="A3:C3"/>
    <mergeCell ref="A81:C81"/>
  </mergeCells>
  <pageMargins left="0.23622047244094491" right="0.23622047244094491" top="0.74803149606299213" bottom="0.74803149606299213" header="0.31496062992125984" footer="0.31496062992125984"/>
  <pageSetup paperSize="9" fitToHeight="0" orientation="landscape" r:id="rId1"/>
  <headerFooter alignWithMargins="0">
    <oddHeader>&amp;LFachgruppe für kantonale Finanzfragen (FkF)
Groupe d'études pour les finances cantonales
&amp;CKanton VD&amp;RZürich, 11.05.2015</oddHeader>
    <oddFooter>&amp;L&amp;F / &amp;A</oddFooter>
  </headerFooter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5">
    <tabColor rgb="FF00B050"/>
  </sheetPr>
  <dimension ref="A1:AL186"/>
  <sheetViews>
    <sheetView zoomScaleNormal="100" workbookViewId="0">
      <selection activeCell="G10" sqref="G10"/>
    </sheetView>
  </sheetViews>
  <sheetFormatPr baseColWidth="10" defaultColWidth="11.42578125" defaultRowHeight="12.75"/>
  <cols>
    <col min="1" max="1" width="16.28515625" style="678" customWidth="1"/>
    <col min="2" max="2" width="3.7109375" style="470" customWidth="1"/>
    <col min="3" max="3" width="44.7109375" style="470" customWidth="1"/>
    <col min="4" max="16384" width="11.42578125" style="470"/>
  </cols>
  <sheetData>
    <row r="1" spans="1:38" s="642" customFormat="1" ht="18" customHeight="1">
      <c r="A1" s="787" t="s">
        <v>490</v>
      </c>
      <c r="B1" s="671" t="s">
        <v>489</v>
      </c>
      <c r="C1" s="671" t="s">
        <v>488</v>
      </c>
      <c r="D1" s="643" t="s">
        <v>487</v>
      </c>
      <c r="E1" s="644" t="s">
        <v>254</v>
      </c>
      <c r="F1" s="643" t="s">
        <v>487</v>
      </c>
      <c r="G1" s="644" t="s">
        <v>254</v>
      </c>
      <c r="H1" s="608"/>
      <c r="I1" s="608"/>
      <c r="J1" s="608"/>
      <c r="K1" s="608"/>
      <c r="L1" s="608"/>
      <c r="M1" s="608"/>
      <c r="N1" s="608"/>
      <c r="O1" s="608"/>
      <c r="P1" s="608"/>
      <c r="Q1" s="608"/>
      <c r="R1" s="608"/>
      <c r="S1" s="608"/>
      <c r="T1" s="608"/>
      <c r="U1" s="608"/>
      <c r="V1" s="608"/>
      <c r="W1" s="608"/>
      <c r="X1" s="608"/>
      <c r="Y1" s="608"/>
      <c r="Z1" s="608"/>
      <c r="AA1" s="608"/>
      <c r="AB1" s="608"/>
      <c r="AC1" s="608"/>
      <c r="AD1" s="608"/>
      <c r="AE1" s="608"/>
      <c r="AF1" s="608"/>
      <c r="AG1" s="608"/>
      <c r="AH1" s="608"/>
      <c r="AI1" s="608"/>
      <c r="AJ1" s="608"/>
      <c r="AK1" s="608"/>
      <c r="AL1" s="608"/>
    </row>
    <row r="2" spans="1:38" s="636" customFormat="1" ht="15" customHeight="1">
      <c r="A2" s="786"/>
      <c r="B2" s="640"/>
      <c r="C2" s="639" t="s">
        <v>486</v>
      </c>
      <c r="D2" s="637">
        <v>2013</v>
      </c>
      <c r="E2" s="638">
        <v>2014</v>
      </c>
      <c r="F2" s="637">
        <v>2014</v>
      </c>
      <c r="G2" s="638">
        <v>2015</v>
      </c>
    </row>
    <row r="3" spans="1:38" ht="15" customHeight="1">
      <c r="A3" s="949" t="s">
        <v>485</v>
      </c>
      <c r="B3" s="950"/>
      <c r="C3" s="950"/>
      <c r="D3" s="512"/>
      <c r="E3" s="635" t="s">
        <v>251</v>
      </c>
      <c r="F3" s="512"/>
      <c r="G3" s="635"/>
    </row>
    <row r="4" spans="1:38" s="480" customFormat="1" ht="12.75" customHeight="1">
      <c r="A4" s="785">
        <v>30</v>
      </c>
      <c r="B4" s="669"/>
      <c r="C4" s="632" t="s">
        <v>484</v>
      </c>
      <c r="D4" s="411">
        <v>1179831</v>
      </c>
      <c r="E4" s="453">
        <v>1174614</v>
      </c>
      <c r="F4" s="411">
        <v>1181998</v>
      </c>
      <c r="G4" s="453">
        <v>1185564</v>
      </c>
    </row>
    <row r="5" spans="1:38" s="480" customFormat="1" ht="12.75" customHeight="1">
      <c r="A5" s="593">
        <v>31</v>
      </c>
      <c r="B5" s="587"/>
      <c r="C5" s="585" t="s">
        <v>483</v>
      </c>
      <c r="D5" s="317">
        <v>319170</v>
      </c>
      <c r="E5" s="361">
        <v>323144</v>
      </c>
      <c r="F5" s="317">
        <v>328246</v>
      </c>
      <c r="G5" s="361">
        <v>339790</v>
      </c>
    </row>
    <row r="6" spans="1:38" s="480" customFormat="1" ht="12.75" customHeight="1">
      <c r="A6" s="630" t="s">
        <v>482</v>
      </c>
      <c r="B6" s="586"/>
      <c r="C6" s="616" t="s">
        <v>481</v>
      </c>
      <c r="D6" s="322">
        <v>45853</v>
      </c>
      <c r="E6" s="321">
        <v>43868</v>
      </c>
      <c r="F6" s="322">
        <v>44792</v>
      </c>
      <c r="G6" s="361">
        <v>45707</v>
      </c>
    </row>
    <row r="7" spans="1:38" s="480" customFormat="1" ht="12.75" customHeight="1">
      <c r="A7" s="630" t="s">
        <v>480</v>
      </c>
      <c r="B7" s="586"/>
      <c r="C7" s="616" t="s">
        <v>479</v>
      </c>
      <c r="D7" s="322">
        <v>2331</v>
      </c>
      <c r="E7" s="321">
        <v>0</v>
      </c>
      <c r="F7" s="322">
        <v>3238</v>
      </c>
      <c r="G7" s="361">
        <v>0</v>
      </c>
    </row>
    <row r="8" spans="1:38" s="480" customFormat="1" ht="12.75" customHeight="1">
      <c r="A8" s="593">
        <v>330</v>
      </c>
      <c r="B8" s="587"/>
      <c r="C8" s="585" t="s">
        <v>478</v>
      </c>
      <c r="D8" s="317">
        <v>64408</v>
      </c>
      <c r="E8" s="316">
        <v>78570</v>
      </c>
      <c r="F8" s="317">
        <v>72642</v>
      </c>
      <c r="G8" s="361">
        <v>79994</v>
      </c>
    </row>
    <row r="9" spans="1:38" s="480" customFormat="1" ht="12.75" customHeight="1">
      <c r="A9" s="593">
        <v>332</v>
      </c>
      <c r="B9" s="587"/>
      <c r="C9" s="585" t="s">
        <v>477</v>
      </c>
      <c r="D9" s="317"/>
      <c r="E9" s="316"/>
      <c r="F9" s="317">
        <v>0</v>
      </c>
      <c r="G9" s="361">
        <v>0</v>
      </c>
    </row>
    <row r="10" spans="1:38" s="480" customFormat="1" ht="12.75" customHeight="1">
      <c r="A10" s="593">
        <v>339</v>
      </c>
      <c r="B10" s="587"/>
      <c r="C10" s="585" t="s">
        <v>476</v>
      </c>
      <c r="D10" s="317"/>
      <c r="E10" s="316"/>
      <c r="F10" s="317">
        <v>0</v>
      </c>
      <c r="G10" s="361">
        <v>0</v>
      </c>
    </row>
    <row r="11" spans="1:38" s="771" customFormat="1" ht="28.15" customHeight="1">
      <c r="A11" s="597">
        <v>350</v>
      </c>
      <c r="B11" s="776"/>
      <c r="C11" s="589" t="s">
        <v>475</v>
      </c>
      <c r="D11" s="311"/>
      <c r="E11" s="310"/>
      <c r="F11" s="311">
        <v>0</v>
      </c>
      <c r="G11" s="361">
        <v>0</v>
      </c>
    </row>
    <row r="12" spans="1:38" s="579" customFormat="1" ht="25.5">
      <c r="A12" s="597">
        <v>351</v>
      </c>
      <c r="B12" s="596"/>
      <c r="C12" s="589" t="s">
        <v>474</v>
      </c>
      <c r="D12" s="450">
        <v>40181</v>
      </c>
      <c r="E12" s="400">
        <v>27759</v>
      </c>
      <c r="F12" s="450">
        <v>41876</v>
      </c>
      <c r="G12" s="361">
        <v>38489</v>
      </c>
    </row>
    <row r="13" spans="1:38" s="480" customFormat="1" ht="12.75" customHeight="1">
      <c r="A13" s="593">
        <v>36</v>
      </c>
      <c r="B13" s="587"/>
      <c r="C13" s="585" t="s">
        <v>473</v>
      </c>
      <c r="D13" s="322">
        <v>1321565</v>
      </c>
      <c r="E13" s="316">
        <v>1327486</v>
      </c>
      <c r="F13" s="322">
        <v>1367621</v>
      </c>
      <c r="G13" s="361">
        <v>1358100</v>
      </c>
    </row>
    <row r="14" spans="1:38" s="480" customFormat="1" ht="12.75" customHeight="1">
      <c r="A14" s="629" t="s">
        <v>472</v>
      </c>
      <c r="B14" s="587"/>
      <c r="C14" s="627" t="s">
        <v>471</v>
      </c>
      <c r="D14" s="322">
        <v>262748</v>
      </c>
      <c r="E14" s="316">
        <v>255699</v>
      </c>
      <c r="F14" s="322">
        <v>250424</v>
      </c>
      <c r="G14" s="361">
        <v>251879</v>
      </c>
    </row>
    <row r="15" spans="1:38" s="480" customFormat="1" ht="12.75" customHeight="1">
      <c r="A15" s="629" t="s">
        <v>470</v>
      </c>
      <c r="B15" s="587"/>
      <c r="C15" s="627" t="s">
        <v>469</v>
      </c>
      <c r="D15" s="322">
        <v>35198</v>
      </c>
      <c r="E15" s="316">
        <v>36719</v>
      </c>
      <c r="F15" s="322">
        <v>38752</v>
      </c>
      <c r="G15" s="361">
        <v>37391</v>
      </c>
    </row>
    <row r="16" spans="1:38" s="626" customFormat="1" ht="26.25" customHeight="1">
      <c r="A16" s="629" t="s">
        <v>468</v>
      </c>
      <c r="B16" s="668"/>
      <c r="C16" s="627" t="s">
        <v>467</v>
      </c>
      <c r="D16" s="442">
        <v>41161</v>
      </c>
      <c r="E16" s="443">
        <v>47856</v>
      </c>
      <c r="F16" s="442">
        <v>43681</v>
      </c>
      <c r="G16" s="361">
        <v>41816</v>
      </c>
    </row>
    <row r="17" spans="1:7" s="622" customFormat="1">
      <c r="A17" s="593">
        <v>37</v>
      </c>
      <c r="B17" s="587"/>
      <c r="C17" s="585" t="s">
        <v>448</v>
      </c>
      <c r="D17" s="431">
        <v>221888</v>
      </c>
      <c r="E17" s="430">
        <v>225791</v>
      </c>
      <c r="F17" s="431">
        <v>222085</v>
      </c>
      <c r="G17" s="361">
        <v>222979</v>
      </c>
    </row>
    <row r="18" spans="1:7" s="622" customFormat="1">
      <c r="A18" s="617" t="s">
        <v>466</v>
      </c>
      <c r="B18" s="586"/>
      <c r="C18" s="616" t="s">
        <v>465</v>
      </c>
      <c r="D18" s="438">
        <v>145</v>
      </c>
      <c r="E18" s="430">
        <v>150</v>
      </c>
      <c r="F18" s="438">
        <v>50</v>
      </c>
      <c r="G18" s="361">
        <v>4</v>
      </c>
    </row>
    <row r="19" spans="1:7" s="622" customFormat="1">
      <c r="A19" s="617" t="s">
        <v>464</v>
      </c>
      <c r="B19" s="586"/>
      <c r="C19" s="616" t="s">
        <v>463</v>
      </c>
      <c r="D19" s="438"/>
      <c r="E19" s="430"/>
      <c r="F19" s="438">
        <v>0</v>
      </c>
      <c r="G19" s="361">
        <v>0</v>
      </c>
    </row>
    <row r="20" spans="1:7" s="480" customFormat="1" ht="12.75" customHeight="1">
      <c r="A20" s="783">
        <v>39</v>
      </c>
      <c r="B20" s="614"/>
      <c r="C20" s="583" t="s">
        <v>447</v>
      </c>
      <c r="D20" s="333">
        <v>26574</v>
      </c>
      <c r="E20" s="372">
        <v>26634</v>
      </c>
      <c r="F20" s="333">
        <v>28667</v>
      </c>
      <c r="G20" s="354">
        <v>29322</v>
      </c>
    </row>
    <row r="21" spans="1:7" ht="12.75" customHeight="1">
      <c r="A21" s="774"/>
      <c r="B21" s="578"/>
      <c r="C21" s="576" t="s">
        <v>462</v>
      </c>
      <c r="D21" s="380">
        <f>D4+D5+SUM(D8:D13)+D17</f>
        <v>3147043</v>
      </c>
      <c r="E21" s="380">
        <f>E4+E5+SUM(E8:E13)+E17</f>
        <v>3157364</v>
      </c>
      <c r="F21" s="380">
        <f>F4+F5+SUM(F8:F13)+F17</f>
        <v>3214468</v>
      </c>
      <c r="G21" s="380">
        <f>G4+G5+SUM(G8:G13)+G17</f>
        <v>3224916</v>
      </c>
    </row>
    <row r="22" spans="1:7" s="771" customFormat="1" ht="12.75" customHeight="1">
      <c r="A22" s="597" t="s">
        <v>226</v>
      </c>
      <c r="B22" s="776"/>
      <c r="C22" s="589" t="s">
        <v>461</v>
      </c>
      <c r="D22" s="311">
        <v>938146</v>
      </c>
      <c r="E22" s="310">
        <v>947950</v>
      </c>
      <c r="F22" s="311">
        <v>962968</v>
      </c>
      <c r="G22" s="310">
        <v>980200</v>
      </c>
    </row>
    <row r="23" spans="1:7" s="771" customFormat="1">
      <c r="A23" s="597" t="s">
        <v>224</v>
      </c>
      <c r="B23" s="776"/>
      <c r="C23" s="589" t="s">
        <v>460</v>
      </c>
      <c r="D23" s="311">
        <v>198840</v>
      </c>
      <c r="E23" s="310">
        <v>212498</v>
      </c>
      <c r="F23" s="311">
        <v>205996</v>
      </c>
      <c r="G23" s="310">
        <v>214471</v>
      </c>
    </row>
    <row r="24" spans="1:7" s="621" customFormat="1" ht="12.75" customHeight="1">
      <c r="A24" s="593">
        <v>41</v>
      </c>
      <c r="B24" s="587"/>
      <c r="C24" s="585" t="s">
        <v>459</v>
      </c>
      <c r="D24" s="317">
        <v>59150</v>
      </c>
      <c r="E24" s="316">
        <v>59983</v>
      </c>
      <c r="F24" s="317">
        <v>37334</v>
      </c>
      <c r="G24" s="316">
        <v>35671</v>
      </c>
    </row>
    <row r="25" spans="1:7" s="480" customFormat="1" ht="12.75" customHeight="1">
      <c r="A25" s="732">
        <v>42</v>
      </c>
      <c r="B25" s="619"/>
      <c r="C25" s="585" t="s">
        <v>458</v>
      </c>
      <c r="D25" s="317">
        <v>222705</v>
      </c>
      <c r="E25" s="316">
        <v>215461</v>
      </c>
      <c r="F25" s="317">
        <v>235470</v>
      </c>
      <c r="G25" s="316">
        <v>221774</v>
      </c>
    </row>
    <row r="26" spans="1:7" s="618" customFormat="1" ht="12.75" customHeight="1">
      <c r="A26" s="597">
        <v>430</v>
      </c>
      <c r="B26" s="587"/>
      <c r="C26" s="585" t="s">
        <v>457</v>
      </c>
      <c r="D26" s="431">
        <v>1926</v>
      </c>
      <c r="E26" s="430">
        <v>2065</v>
      </c>
      <c r="F26" s="431">
        <v>2012</v>
      </c>
      <c r="G26" s="430">
        <v>2017</v>
      </c>
    </row>
    <row r="27" spans="1:7" s="618" customFormat="1" ht="12.75" customHeight="1">
      <c r="A27" s="597">
        <v>431</v>
      </c>
      <c r="B27" s="587"/>
      <c r="C27" s="585" t="s">
        <v>456</v>
      </c>
      <c r="D27" s="431">
        <v>34</v>
      </c>
      <c r="E27" s="430">
        <v>120</v>
      </c>
      <c r="F27" s="431">
        <v>14</v>
      </c>
      <c r="G27" s="430">
        <v>60</v>
      </c>
    </row>
    <row r="28" spans="1:7" s="618" customFormat="1" ht="12.75" customHeight="1">
      <c r="A28" s="597">
        <v>432</v>
      </c>
      <c r="B28" s="587"/>
      <c r="C28" s="585" t="s">
        <v>455</v>
      </c>
      <c r="D28" s="431">
        <v>0</v>
      </c>
      <c r="E28" s="430"/>
      <c r="F28" s="431">
        <v>0</v>
      </c>
      <c r="G28" s="430">
        <v>0</v>
      </c>
    </row>
    <row r="29" spans="1:7" s="618" customFormat="1" ht="12.75" customHeight="1">
      <c r="A29" s="597">
        <v>439</v>
      </c>
      <c r="B29" s="587"/>
      <c r="C29" s="585" t="s">
        <v>454</v>
      </c>
      <c r="D29" s="431"/>
      <c r="E29" s="430"/>
      <c r="F29" s="431">
        <v>0</v>
      </c>
      <c r="G29" s="430">
        <v>0</v>
      </c>
    </row>
    <row r="30" spans="1:7" s="480" customFormat="1" ht="25.5">
      <c r="A30" s="597">
        <v>450</v>
      </c>
      <c r="B30" s="596"/>
      <c r="C30" s="589" t="s">
        <v>453</v>
      </c>
      <c r="D30" s="362"/>
      <c r="E30" s="361"/>
      <c r="F30" s="362">
        <v>0</v>
      </c>
      <c r="G30" s="361">
        <v>0</v>
      </c>
    </row>
    <row r="31" spans="1:7" s="579" customFormat="1" ht="25.5">
      <c r="A31" s="597">
        <v>451</v>
      </c>
      <c r="B31" s="596"/>
      <c r="C31" s="589" t="s">
        <v>452</v>
      </c>
      <c r="D31" s="311">
        <v>27059</v>
      </c>
      <c r="E31" s="316">
        <v>33840</v>
      </c>
      <c r="F31" s="311">
        <v>64186</v>
      </c>
      <c r="G31" s="316">
        <v>83296</v>
      </c>
    </row>
    <row r="32" spans="1:7" s="480" customFormat="1" ht="12.75" customHeight="1">
      <c r="A32" s="593">
        <v>46</v>
      </c>
      <c r="B32" s="587"/>
      <c r="C32" s="585" t="s">
        <v>451</v>
      </c>
      <c r="D32" s="317">
        <v>1402509</v>
      </c>
      <c r="E32" s="316">
        <v>1378706</v>
      </c>
      <c r="F32" s="317">
        <v>1402577</v>
      </c>
      <c r="G32" s="316">
        <v>1378977</v>
      </c>
    </row>
    <row r="33" spans="1:7" s="626" customFormat="1" ht="25.5">
      <c r="A33" s="629" t="s">
        <v>450</v>
      </c>
      <c r="B33" s="775"/>
      <c r="C33" s="627" t="s">
        <v>449</v>
      </c>
      <c r="D33" s="540">
        <v>0</v>
      </c>
      <c r="E33" s="743">
        <v>0</v>
      </c>
      <c r="F33" s="540">
        <v>0</v>
      </c>
      <c r="G33" s="743">
        <v>0</v>
      </c>
    </row>
    <row r="34" spans="1:7" s="480" customFormat="1" ht="15" customHeight="1">
      <c r="A34" s="593">
        <v>47</v>
      </c>
      <c r="B34" s="587"/>
      <c r="C34" s="585" t="s">
        <v>448</v>
      </c>
      <c r="D34" s="317">
        <v>223175</v>
      </c>
      <c r="E34" s="316">
        <v>225791</v>
      </c>
      <c r="F34" s="317">
        <v>223567</v>
      </c>
      <c r="G34" s="316">
        <v>222979</v>
      </c>
    </row>
    <row r="35" spans="1:7" s="480" customFormat="1" ht="15" customHeight="1">
      <c r="A35" s="783">
        <v>49</v>
      </c>
      <c r="B35" s="614"/>
      <c r="C35" s="583" t="s">
        <v>447</v>
      </c>
      <c r="D35" s="333">
        <v>26574</v>
      </c>
      <c r="E35" s="372">
        <v>26634</v>
      </c>
      <c r="F35" s="333">
        <v>28667</v>
      </c>
      <c r="G35" s="372">
        <v>29322</v>
      </c>
    </row>
    <row r="36" spans="1:7" ht="13.5" customHeight="1">
      <c r="A36" s="774"/>
      <c r="B36" s="606"/>
      <c r="C36" s="576" t="s">
        <v>446</v>
      </c>
      <c r="D36" s="380">
        <f>D22+D23+D24+D25+D26+D27+D28+D29+D30+D31+D32+D34</f>
        <v>3073544</v>
      </c>
      <c r="E36" s="380">
        <f>E22+E23+E24+E25+E26+E27+E28+E29+E30+E31+E32+E34</f>
        <v>3076414</v>
      </c>
      <c r="F36" s="380">
        <f>F22+F23+F24+F25+F26+F27+F28+F29+F30+F31+F32+F34</f>
        <v>3134124</v>
      </c>
      <c r="G36" s="380">
        <f>G22+G23+G24+G25+G26+G27+G28+G29+G30+G31+G32+G34</f>
        <v>3139445</v>
      </c>
    </row>
    <row r="37" spans="1:7" s="667" customFormat="1" ht="15" customHeight="1">
      <c r="A37" s="774"/>
      <c r="B37" s="606"/>
      <c r="C37" s="576" t="s">
        <v>445</v>
      </c>
      <c r="D37" s="380">
        <f>D36-D21</f>
        <v>-73499</v>
      </c>
      <c r="E37" s="380">
        <f>E36-E21</f>
        <v>-80950</v>
      </c>
      <c r="F37" s="380">
        <f>F36-F21</f>
        <v>-80344</v>
      </c>
      <c r="G37" s="380">
        <f>G36-G21</f>
        <v>-85471</v>
      </c>
    </row>
    <row r="38" spans="1:7" s="579" customFormat="1" ht="15" customHeight="1">
      <c r="A38" s="593">
        <v>340</v>
      </c>
      <c r="B38" s="587"/>
      <c r="C38" s="585" t="s">
        <v>444</v>
      </c>
      <c r="D38" s="317">
        <v>13989</v>
      </c>
      <c r="E38" s="316">
        <v>4090</v>
      </c>
      <c r="F38" s="317">
        <v>4172</v>
      </c>
      <c r="G38" s="316">
        <v>4128</v>
      </c>
    </row>
    <row r="39" spans="1:7" s="579" customFormat="1" ht="15" customHeight="1">
      <c r="A39" s="593">
        <v>341</v>
      </c>
      <c r="B39" s="587"/>
      <c r="C39" s="585" t="s">
        <v>443</v>
      </c>
      <c r="D39" s="317">
        <v>0</v>
      </c>
      <c r="E39" s="316">
        <v>0</v>
      </c>
      <c r="F39" s="317">
        <v>0</v>
      </c>
      <c r="G39" s="316">
        <v>0</v>
      </c>
    </row>
    <row r="40" spans="1:7" s="626" customFormat="1" ht="15" customHeight="1">
      <c r="A40" s="597">
        <v>342</v>
      </c>
      <c r="B40" s="776"/>
      <c r="C40" s="589" t="s">
        <v>442</v>
      </c>
      <c r="D40" s="311">
        <v>0</v>
      </c>
      <c r="E40" s="310">
        <v>0</v>
      </c>
      <c r="F40" s="311">
        <v>0</v>
      </c>
      <c r="G40" s="310">
        <v>0</v>
      </c>
    </row>
    <row r="41" spans="1:7" s="579" customFormat="1" ht="15" customHeight="1">
      <c r="A41" s="593">
        <v>343</v>
      </c>
      <c r="B41" s="587"/>
      <c r="C41" s="585" t="s">
        <v>441</v>
      </c>
      <c r="D41" s="317">
        <v>0</v>
      </c>
      <c r="E41" s="316">
        <v>0</v>
      </c>
      <c r="F41" s="317">
        <v>0</v>
      </c>
      <c r="G41" s="316">
        <v>0</v>
      </c>
    </row>
    <row r="42" spans="1:7" s="626" customFormat="1" ht="15" customHeight="1">
      <c r="A42" s="597">
        <v>344</v>
      </c>
      <c r="B42" s="776"/>
      <c r="C42" s="589" t="s">
        <v>440</v>
      </c>
      <c r="D42" s="311">
        <v>0</v>
      </c>
      <c r="E42" s="310">
        <v>0</v>
      </c>
      <c r="F42" s="311">
        <v>0</v>
      </c>
      <c r="G42" s="310">
        <v>0</v>
      </c>
    </row>
    <row r="43" spans="1:7" s="579" customFormat="1" ht="15" customHeight="1">
      <c r="A43" s="593">
        <v>349</v>
      </c>
      <c r="B43" s="587"/>
      <c r="C43" s="585" t="s">
        <v>439</v>
      </c>
      <c r="D43" s="317">
        <v>21</v>
      </c>
      <c r="E43" s="316">
        <v>16</v>
      </c>
      <c r="F43" s="317">
        <v>27</v>
      </c>
      <c r="G43" s="316">
        <v>16</v>
      </c>
    </row>
    <row r="44" spans="1:7" s="480" customFormat="1" ht="15" customHeight="1">
      <c r="A44" s="593">
        <v>440</v>
      </c>
      <c r="B44" s="587"/>
      <c r="C44" s="585" t="s">
        <v>438</v>
      </c>
      <c r="D44" s="317">
        <v>20079</v>
      </c>
      <c r="E44" s="316">
        <v>17856</v>
      </c>
      <c r="F44" s="317">
        <v>12648</v>
      </c>
      <c r="G44" s="316">
        <v>15375</v>
      </c>
    </row>
    <row r="45" spans="1:7" s="771" customFormat="1" ht="15" customHeight="1">
      <c r="A45" s="597">
        <v>441</v>
      </c>
      <c r="B45" s="776"/>
      <c r="C45" s="589" t="s">
        <v>437</v>
      </c>
      <c r="D45" s="311">
        <v>778</v>
      </c>
      <c r="E45" s="625">
        <v>0</v>
      </c>
      <c r="F45" s="311">
        <v>778</v>
      </c>
      <c r="G45" s="625">
        <v>0</v>
      </c>
    </row>
    <row r="46" spans="1:7" s="771" customFormat="1" ht="15" customHeight="1">
      <c r="A46" s="597">
        <v>442</v>
      </c>
      <c r="B46" s="776"/>
      <c r="C46" s="589" t="s">
        <v>436</v>
      </c>
      <c r="D46" s="311">
        <v>475</v>
      </c>
      <c r="E46" s="310">
        <v>475</v>
      </c>
      <c r="F46" s="311">
        <v>577</v>
      </c>
      <c r="G46" s="310">
        <v>475</v>
      </c>
    </row>
    <row r="47" spans="1:7" s="480" customFormat="1" ht="15" customHeight="1">
      <c r="A47" s="593">
        <v>443</v>
      </c>
      <c r="B47" s="587"/>
      <c r="C47" s="585" t="s">
        <v>435</v>
      </c>
      <c r="D47" s="317">
        <v>0</v>
      </c>
      <c r="E47" s="594">
        <v>0</v>
      </c>
      <c r="F47" s="317">
        <v>0</v>
      </c>
      <c r="G47" s="594">
        <v>0</v>
      </c>
    </row>
    <row r="48" spans="1:7" s="480" customFormat="1" ht="15" customHeight="1">
      <c r="A48" s="593">
        <v>444</v>
      </c>
      <c r="B48" s="587"/>
      <c r="C48" s="585" t="s">
        <v>434</v>
      </c>
      <c r="D48" s="317">
        <v>0</v>
      </c>
      <c r="E48" s="594">
        <v>0</v>
      </c>
      <c r="F48" s="317">
        <v>0</v>
      </c>
      <c r="G48" s="594">
        <v>0</v>
      </c>
    </row>
    <row r="49" spans="1:7" s="480" customFormat="1" ht="15" customHeight="1">
      <c r="A49" s="593">
        <v>445</v>
      </c>
      <c r="B49" s="587"/>
      <c r="C49" s="585" t="s">
        <v>433</v>
      </c>
      <c r="D49" s="317">
        <v>3111</v>
      </c>
      <c r="E49" s="316">
        <v>3268</v>
      </c>
      <c r="F49" s="317">
        <v>2679</v>
      </c>
      <c r="G49" s="316">
        <v>2891</v>
      </c>
    </row>
    <row r="50" spans="1:7" s="480" customFormat="1" ht="15" customHeight="1">
      <c r="A50" s="593">
        <v>446</v>
      </c>
      <c r="B50" s="587"/>
      <c r="C50" s="585" t="s">
        <v>432</v>
      </c>
      <c r="D50" s="317">
        <v>55165</v>
      </c>
      <c r="E50" s="316">
        <v>56615</v>
      </c>
      <c r="F50" s="317">
        <v>60740</v>
      </c>
      <c r="G50" s="316">
        <v>63715</v>
      </c>
    </row>
    <row r="51" spans="1:7" s="771" customFormat="1" ht="15" customHeight="1">
      <c r="A51" s="597">
        <v>447</v>
      </c>
      <c r="B51" s="776"/>
      <c r="C51" s="589" t="s">
        <v>431</v>
      </c>
      <c r="D51" s="311">
        <v>7001</v>
      </c>
      <c r="E51" s="310">
        <v>7381</v>
      </c>
      <c r="F51" s="311">
        <v>7369</v>
      </c>
      <c r="G51" s="310">
        <v>7333</v>
      </c>
    </row>
    <row r="52" spans="1:7" s="480" customFormat="1" ht="15" customHeight="1">
      <c r="A52" s="593">
        <v>448</v>
      </c>
      <c r="B52" s="587"/>
      <c r="C52" s="585" t="s">
        <v>430</v>
      </c>
      <c r="D52" s="317">
        <v>0</v>
      </c>
      <c r="E52" s="594">
        <v>0</v>
      </c>
      <c r="F52" s="317">
        <v>0</v>
      </c>
      <c r="G52" s="594">
        <v>0</v>
      </c>
    </row>
    <row r="53" spans="1:7" s="771" customFormat="1" ht="15" customHeight="1">
      <c r="A53" s="597">
        <v>449</v>
      </c>
      <c r="B53" s="776"/>
      <c r="C53" s="589" t="s">
        <v>429</v>
      </c>
      <c r="D53" s="311">
        <v>0</v>
      </c>
      <c r="E53" s="625">
        <v>0</v>
      </c>
      <c r="F53" s="311">
        <v>0</v>
      </c>
      <c r="G53" s="625">
        <v>0</v>
      </c>
    </row>
    <row r="54" spans="1:7" s="579" customFormat="1" ht="13.5" customHeight="1">
      <c r="A54" s="607" t="s">
        <v>428</v>
      </c>
      <c r="B54" s="580"/>
      <c r="C54" s="580" t="s">
        <v>427</v>
      </c>
      <c r="D54" s="300"/>
      <c r="E54" s="779">
        <v>0</v>
      </c>
      <c r="F54" s="300">
        <v>0</v>
      </c>
      <c r="G54" s="779">
        <v>0</v>
      </c>
    </row>
    <row r="55" spans="1:7" ht="15" customHeight="1">
      <c r="A55" s="778"/>
      <c r="B55" s="606"/>
      <c r="C55" s="576" t="s">
        <v>426</v>
      </c>
      <c r="D55" s="380">
        <f>SUM(D44:D53)-SUM(D38:D43)</f>
        <v>72599</v>
      </c>
      <c r="E55" s="380">
        <f>SUM(E44:E53)-SUM(E38:E43)</f>
        <v>81489</v>
      </c>
      <c r="F55" s="380">
        <f>SUM(F44:F53)-SUM(F38:F43)</f>
        <v>80592</v>
      </c>
      <c r="G55" s="380">
        <f>SUM(G44:G53)-SUM(G38:G43)</f>
        <v>85645</v>
      </c>
    </row>
    <row r="56" spans="1:7" ht="14.25" customHeight="1">
      <c r="A56" s="778"/>
      <c r="B56" s="606"/>
      <c r="C56" s="576" t="s">
        <v>425</v>
      </c>
      <c r="D56" s="380">
        <f>D55+D37</f>
        <v>-900</v>
      </c>
      <c r="E56" s="380">
        <f>E55+E37</f>
        <v>539</v>
      </c>
      <c r="F56" s="380">
        <f>F55+F37</f>
        <v>248</v>
      </c>
      <c r="G56" s="380">
        <f>G55+G37</f>
        <v>174</v>
      </c>
    </row>
    <row r="57" spans="1:7" s="480" customFormat="1" ht="15.75" customHeight="1">
      <c r="A57" s="777">
        <v>380</v>
      </c>
      <c r="B57" s="604"/>
      <c r="C57" s="603" t="s">
        <v>424</v>
      </c>
      <c r="D57" s="735"/>
      <c r="E57" s="737"/>
      <c r="F57" s="735">
        <v>0</v>
      </c>
      <c r="G57" s="601"/>
    </row>
    <row r="58" spans="1:7" s="480" customFormat="1" ht="15.75" customHeight="1">
      <c r="A58" s="777">
        <v>381</v>
      </c>
      <c r="B58" s="604"/>
      <c r="C58" s="603" t="s">
        <v>423</v>
      </c>
      <c r="D58" s="735"/>
      <c r="E58" s="737"/>
      <c r="F58" s="735">
        <v>0</v>
      </c>
      <c r="G58" s="601"/>
    </row>
    <row r="59" spans="1:7" s="579" customFormat="1" ht="27.6" customHeight="1">
      <c r="A59" s="597">
        <v>383</v>
      </c>
      <c r="B59" s="596"/>
      <c r="C59" s="589" t="s">
        <v>422</v>
      </c>
      <c r="D59" s="343"/>
      <c r="E59" s="394"/>
      <c r="F59" s="343">
        <v>0</v>
      </c>
      <c r="G59" s="342"/>
    </row>
    <row r="60" spans="1:7" s="579" customFormat="1">
      <c r="A60" s="597">
        <v>3840</v>
      </c>
      <c r="B60" s="596"/>
      <c r="C60" s="589" t="s">
        <v>421</v>
      </c>
      <c r="D60" s="401"/>
      <c r="E60" s="402"/>
      <c r="F60" s="401">
        <v>0</v>
      </c>
      <c r="G60" s="400"/>
    </row>
    <row r="61" spans="1:7" s="579" customFormat="1" ht="26.45" customHeight="1">
      <c r="A61" s="597">
        <v>3841</v>
      </c>
      <c r="B61" s="596"/>
      <c r="C61" s="589" t="s">
        <v>420</v>
      </c>
      <c r="D61" s="401"/>
      <c r="E61" s="402"/>
      <c r="F61" s="401">
        <v>0</v>
      </c>
      <c r="G61" s="400"/>
    </row>
    <row r="62" spans="1:7" s="579" customFormat="1">
      <c r="A62" s="600">
        <v>386</v>
      </c>
      <c r="B62" s="599"/>
      <c r="C62" s="598" t="s">
        <v>419</v>
      </c>
      <c r="D62" s="401"/>
      <c r="E62" s="402"/>
      <c r="F62" s="401">
        <v>0</v>
      </c>
      <c r="G62" s="400"/>
    </row>
    <row r="63" spans="1:7" s="579" customFormat="1" ht="27.6" customHeight="1">
      <c r="A63" s="597">
        <v>387</v>
      </c>
      <c r="B63" s="596"/>
      <c r="C63" s="589" t="s">
        <v>418</v>
      </c>
      <c r="D63" s="401"/>
      <c r="E63" s="402"/>
      <c r="F63" s="401">
        <v>0</v>
      </c>
      <c r="G63" s="400"/>
    </row>
    <row r="64" spans="1:7" s="579" customFormat="1">
      <c r="A64" s="593">
        <v>389</v>
      </c>
      <c r="B64" s="592"/>
      <c r="C64" s="585" t="s">
        <v>417</v>
      </c>
      <c r="D64" s="317"/>
      <c r="E64" s="369"/>
      <c r="F64" s="317">
        <v>0</v>
      </c>
      <c r="G64" s="316"/>
    </row>
    <row r="65" spans="1:7" s="771" customFormat="1">
      <c r="A65" s="597" t="s">
        <v>181</v>
      </c>
      <c r="B65" s="776"/>
      <c r="C65" s="589" t="s">
        <v>416</v>
      </c>
      <c r="D65" s="311"/>
      <c r="E65" s="756"/>
      <c r="F65" s="311">
        <v>0</v>
      </c>
      <c r="G65" s="310"/>
    </row>
    <row r="66" spans="1:7" s="588" customFormat="1" ht="25.5">
      <c r="A66" s="597" t="s">
        <v>179</v>
      </c>
      <c r="B66" s="590"/>
      <c r="C66" s="589" t="s">
        <v>415</v>
      </c>
      <c r="D66" s="343"/>
      <c r="E66" s="394"/>
      <c r="F66" s="343">
        <v>0</v>
      </c>
      <c r="G66" s="342"/>
    </row>
    <row r="67" spans="1:7" s="480" customFormat="1">
      <c r="A67" s="597">
        <v>481</v>
      </c>
      <c r="B67" s="587"/>
      <c r="C67" s="585" t="s">
        <v>414</v>
      </c>
      <c r="D67" s="317"/>
      <c r="E67" s="369"/>
      <c r="F67" s="317">
        <v>0</v>
      </c>
      <c r="G67" s="316"/>
    </row>
    <row r="68" spans="1:7" s="480" customFormat="1">
      <c r="A68" s="597">
        <v>482</v>
      </c>
      <c r="B68" s="587"/>
      <c r="C68" s="585" t="s">
        <v>413</v>
      </c>
      <c r="D68" s="317"/>
      <c r="E68" s="369"/>
      <c r="F68" s="317">
        <v>0</v>
      </c>
      <c r="G68" s="316"/>
    </row>
    <row r="69" spans="1:7" s="480" customFormat="1">
      <c r="A69" s="597">
        <v>483</v>
      </c>
      <c r="B69" s="587"/>
      <c r="C69" s="585" t="s">
        <v>412</v>
      </c>
      <c r="D69" s="317"/>
      <c r="E69" s="369"/>
      <c r="F69" s="317">
        <v>0</v>
      </c>
      <c r="G69" s="316"/>
    </row>
    <row r="70" spans="1:7" s="480" customFormat="1">
      <c r="A70" s="597">
        <v>484</v>
      </c>
      <c r="B70" s="587"/>
      <c r="C70" s="585" t="s">
        <v>411</v>
      </c>
      <c r="D70" s="317"/>
      <c r="E70" s="369"/>
      <c r="F70" s="317">
        <v>0</v>
      </c>
      <c r="G70" s="316"/>
    </row>
    <row r="71" spans="1:7" s="771" customFormat="1" ht="25.5">
      <c r="A71" s="597">
        <v>485</v>
      </c>
      <c r="B71" s="776"/>
      <c r="C71" s="589" t="s">
        <v>410</v>
      </c>
      <c r="D71" s="311"/>
      <c r="E71" s="756"/>
      <c r="F71" s="311">
        <v>0</v>
      </c>
      <c r="G71" s="310"/>
    </row>
    <row r="72" spans="1:7" s="480" customFormat="1">
      <c r="A72" s="597">
        <v>486</v>
      </c>
      <c r="B72" s="587"/>
      <c r="C72" s="585" t="s">
        <v>409</v>
      </c>
      <c r="D72" s="317"/>
      <c r="E72" s="369"/>
      <c r="F72" s="317">
        <v>0</v>
      </c>
      <c r="G72" s="316"/>
    </row>
    <row r="73" spans="1:7" s="626" customFormat="1" ht="25.5">
      <c r="A73" s="597">
        <v>487</v>
      </c>
      <c r="B73" s="775"/>
      <c r="C73" s="589" t="s">
        <v>408</v>
      </c>
      <c r="D73" s="311"/>
      <c r="E73" s="756"/>
      <c r="F73" s="311">
        <v>0</v>
      </c>
      <c r="G73" s="310"/>
    </row>
    <row r="74" spans="1:7" s="579" customFormat="1" ht="15" customHeight="1">
      <c r="A74" s="597">
        <v>489</v>
      </c>
      <c r="B74" s="581"/>
      <c r="C74" s="583" t="s">
        <v>407</v>
      </c>
      <c r="D74" s="311"/>
      <c r="E74" s="756"/>
      <c r="F74" s="311">
        <v>0</v>
      </c>
      <c r="G74" s="310"/>
    </row>
    <row r="75" spans="1:7" s="579" customFormat="1">
      <c r="A75" s="582" t="s">
        <v>406</v>
      </c>
      <c r="B75" s="581"/>
      <c r="C75" s="580" t="s">
        <v>405</v>
      </c>
      <c r="D75" s="317"/>
      <c r="E75" s="369"/>
      <c r="F75" s="317">
        <v>0</v>
      </c>
      <c r="G75" s="316"/>
    </row>
    <row r="76" spans="1:7">
      <c r="A76" s="774"/>
      <c r="B76" s="578"/>
      <c r="C76" s="576" t="s">
        <v>404</v>
      </c>
      <c r="D76" s="380">
        <f>SUM(D65:D74)-SUM(D57:D64)</f>
        <v>0</v>
      </c>
      <c r="E76" s="380">
        <f>SUM(E65:E74)-SUM(E57:E64)</f>
        <v>0</v>
      </c>
      <c r="F76" s="380">
        <f>SUM(F65:F74)-SUM(F57:F64)</f>
        <v>0</v>
      </c>
      <c r="G76" s="380">
        <f>SUM(G65:G74)-SUM(G57:G64)</f>
        <v>0</v>
      </c>
    </row>
    <row r="77" spans="1:7">
      <c r="A77" s="773"/>
      <c r="B77" s="577"/>
      <c r="C77" s="576" t="s">
        <v>403</v>
      </c>
      <c r="D77" s="380">
        <f>D56+D76</f>
        <v>-900</v>
      </c>
      <c r="E77" s="380">
        <f>E56+E76</f>
        <v>539</v>
      </c>
      <c r="F77" s="380">
        <f>F56+F76</f>
        <v>248</v>
      </c>
      <c r="G77" s="380">
        <f>G56+G76</f>
        <v>174</v>
      </c>
    </row>
    <row r="78" spans="1:7">
      <c r="A78" s="772">
        <v>3</v>
      </c>
      <c r="B78" s="575"/>
      <c r="C78" s="574" t="s">
        <v>165</v>
      </c>
      <c r="D78" s="377">
        <f>D20+D21+SUM(D38:D43)+SUM(D57:D64)</f>
        <v>3187627</v>
      </c>
      <c r="E78" s="377">
        <f>E20+E21+SUM(E38:E43)+SUM(E57:E64)</f>
        <v>3188104</v>
      </c>
      <c r="F78" s="377">
        <f>F20+F21+SUM(F38:F43)+SUM(F57:F64)</f>
        <v>3247334</v>
      </c>
      <c r="G78" s="377">
        <f>G20+G21+SUM(G38:G43)+SUM(G57:G64)</f>
        <v>3258382</v>
      </c>
    </row>
    <row r="79" spans="1:7">
      <c r="A79" s="772">
        <v>4</v>
      </c>
      <c r="B79" s="575"/>
      <c r="C79" s="574" t="s">
        <v>164</v>
      </c>
      <c r="D79" s="377">
        <f>D35+D36+SUM(D44:D53)+SUM(D65:D74)</f>
        <v>3186727</v>
      </c>
      <c r="E79" s="377">
        <f>E35+E36+SUM(E44:E53)+SUM(E65:E74)</f>
        <v>3188643</v>
      </c>
      <c r="F79" s="377">
        <f>F35+F36+SUM(F44:F53)+SUM(F65:F74)</f>
        <v>3247582</v>
      </c>
      <c r="G79" s="377">
        <f>G35+G36+SUM(G44:G53)+SUM(G65:G74)</f>
        <v>3258556</v>
      </c>
    </row>
    <row r="80" spans="1:7">
      <c r="A80" s="762"/>
      <c r="B80" s="534"/>
      <c r="C80" s="533"/>
      <c r="D80" s="260"/>
      <c r="E80" s="260"/>
      <c r="F80" s="260"/>
      <c r="G80" s="260"/>
    </row>
    <row r="81" spans="1:7">
      <c r="A81" s="951" t="s">
        <v>402</v>
      </c>
      <c r="B81" s="952"/>
      <c r="C81" s="952"/>
      <c r="D81" s="376"/>
      <c r="E81" s="376"/>
      <c r="F81" s="376"/>
      <c r="G81" s="376"/>
    </row>
    <row r="82" spans="1:7" s="480" customFormat="1">
      <c r="A82" s="567">
        <v>50</v>
      </c>
      <c r="B82" s="565"/>
      <c r="C82" s="565" t="s">
        <v>401</v>
      </c>
      <c r="D82" s="317">
        <v>126747</v>
      </c>
      <c r="E82" s="316">
        <v>118367</v>
      </c>
      <c r="F82" s="317">
        <v>108854</v>
      </c>
      <c r="G82" s="316">
        <v>112678</v>
      </c>
    </row>
    <row r="83" spans="1:7" s="480" customFormat="1">
      <c r="A83" s="567">
        <v>51</v>
      </c>
      <c r="B83" s="565"/>
      <c r="C83" s="565" t="s">
        <v>400</v>
      </c>
      <c r="D83" s="317"/>
      <c r="E83" s="316"/>
      <c r="F83" s="317">
        <v>0</v>
      </c>
      <c r="G83" s="316">
        <v>0</v>
      </c>
    </row>
    <row r="84" spans="1:7" s="480" customFormat="1">
      <c r="A84" s="567">
        <v>52</v>
      </c>
      <c r="B84" s="565"/>
      <c r="C84" s="565" t="s">
        <v>399</v>
      </c>
      <c r="D84" s="317"/>
      <c r="E84" s="316"/>
      <c r="F84" s="317">
        <v>0</v>
      </c>
      <c r="G84" s="316">
        <v>0</v>
      </c>
    </row>
    <row r="85" spans="1:7" s="480" customFormat="1">
      <c r="A85" s="571">
        <v>54</v>
      </c>
      <c r="B85" s="570"/>
      <c r="C85" s="570" t="s">
        <v>363</v>
      </c>
      <c r="D85" s="322">
        <v>7858</v>
      </c>
      <c r="E85" s="316">
        <v>15517</v>
      </c>
      <c r="F85" s="322">
        <v>8184</v>
      </c>
      <c r="G85" s="316">
        <v>12399</v>
      </c>
    </row>
    <row r="86" spans="1:7" s="480" customFormat="1">
      <c r="A86" s="571">
        <v>55</v>
      </c>
      <c r="B86" s="570"/>
      <c r="C86" s="570" t="s">
        <v>398</v>
      </c>
      <c r="D86" s="322">
        <v>460</v>
      </c>
      <c r="E86" s="316">
        <v>1000</v>
      </c>
      <c r="F86" s="322">
        <v>0</v>
      </c>
      <c r="G86" s="316">
        <v>1000</v>
      </c>
    </row>
    <row r="87" spans="1:7" s="480" customFormat="1">
      <c r="A87" s="571">
        <v>56</v>
      </c>
      <c r="B87" s="570"/>
      <c r="C87" s="570" t="s">
        <v>397</v>
      </c>
      <c r="D87" s="322">
        <v>37229</v>
      </c>
      <c r="E87" s="316">
        <v>46844</v>
      </c>
      <c r="F87" s="322">
        <v>43809</v>
      </c>
      <c r="G87" s="316">
        <v>39169</v>
      </c>
    </row>
    <row r="88" spans="1:7" s="480" customFormat="1">
      <c r="A88" s="567">
        <v>57</v>
      </c>
      <c r="B88" s="565"/>
      <c r="C88" s="565" t="s">
        <v>382</v>
      </c>
      <c r="D88" s="317">
        <v>15303</v>
      </c>
      <c r="E88" s="316">
        <v>14805</v>
      </c>
      <c r="F88" s="317">
        <v>14433</v>
      </c>
      <c r="G88" s="316">
        <v>20222</v>
      </c>
    </row>
    <row r="89" spans="1:7" s="771" customFormat="1" ht="25.5">
      <c r="A89" s="566">
        <v>580</v>
      </c>
      <c r="B89" s="564"/>
      <c r="C89" s="564" t="s">
        <v>396</v>
      </c>
      <c r="D89" s="311">
        <v>0</v>
      </c>
      <c r="E89" s="310"/>
      <c r="F89" s="311">
        <v>0</v>
      </c>
      <c r="G89" s="310">
        <v>0</v>
      </c>
    </row>
    <row r="90" spans="1:7" s="771" customFormat="1" ht="25.5">
      <c r="A90" s="566">
        <v>582</v>
      </c>
      <c r="B90" s="564"/>
      <c r="C90" s="564" t="s">
        <v>395</v>
      </c>
      <c r="D90" s="311">
        <v>0</v>
      </c>
      <c r="E90" s="310"/>
      <c r="F90" s="311">
        <v>0</v>
      </c>
      <c r="G90" s="310">
        <v>0</v>
      </c>
    </row>
    <row r="91" spans="1:7" s="480" customFormat="1">
      <c r="A91" s="567">
        <v>584</v>
      </c>
      <c r="B91" s="565"/>
      <c r="C91" s="565" t="s">
        <v>394</v>
      </c>
      <c r="D91" s="317">
        <v>0</v>
      </c>
      <c r="E91" s="316"/>
      <c r="F91" s="317">
        <v>0</v>
      </c>
      <c r="G91" s="316">
        <v>0</v>
      </c>
    </row>
    <row r="92" spans="1:7" s="771" customFormat="1" ht="25.5">
      <c r="A92" s="566">
        <v>585</v>
      </c>
      <c r="B92" s="564"/>
      <c r="C92" s="564" t="s">
        <v>393</v>
      </c>
      <c r="D92" s="311">
        <v>0</v>
      </c>
      <c r="E92" s="310"/>
      <c r="F92" s="311">
        <v>0</v>
      </c>
      <c r="G92" s="310">
        <v>0</v>
      </c>
    </row>
    <row r="93" spans="1:7" s="480" customFormat="1">
      <c r="A93" s="567">
        <v>586</v>
      </c>
      <c r="B93" s="565"/>
      <c r="C93" s="565" t="s">
        <v>392</v>
      </c>
      <c r="D93" s="317">
        <v>0</v>
      </c>
      <c r="E93" s="316"/>
      <c r="F93" s="317">
        <v>0</v>
      </c>
      <c r="G93" s="316">
        <v>0</v>
      </c>
    </row>
    <row r="94" spans="1:7" s="480" customFormat="1">
      <c r="A94" s="568">
        <v>589</v>
      </c>
      <c r="B94" s="561"/>
      <c r="C94" s="561" t="s">
        <v>391</v>
      </c>
      <c r="D94" s="333">
        <v>0</v>
      </c>
      <c r="E94" s="372"/>
      <c r="F94" s="333">
        <v>0</v>
      </c>
      <c r="G94" s="372">
        <v>0</v>
      </c>
    </row>
    <row r="95" spans="1:7">
      <c r="A95" s="557">
        <v>5</v>
      </c>
      <c r="B95" s="555"/>
      <c r="C95" s="555" t="s">
        <v>390</v>
      </c>
      <c r="D95" s="348">
        <f>SUM(D82:D94)</f>
        <v>187597</v>
      </c>
      <c r="E95" s="348">
        <f>SUM(E82:E94)</f>
        <v>196533</v>
      </c>
      <c r="F95" s="348">
        <f>SUM(F82:F94)</f>
        <v>175280</v>
      </c>
      <c r="G95" s="348">
        <f>SUM(G82:G94)</f>
        <v>185468</v>
      </c>
    </row>
    <row r="96" spans="1:7" s="771" customFormat="1" ht="25.5">
      <c r="A96" s="566">
        <v>60</v>
      </c>
      <c r="B96" s="564"/>
      <c r="C96" s="564" t="s">
        <v>389</v>
      </c>
      <c r="D96" s="311">
        <v>0</v>
      </c>
      <c r="E96" s="310">
        <v>0</v>
      </c>
      <c r="F96" s="311">
        <v>31</v>
      </c>
      <c r="G96" s="310">
        <v>0</v>
      </c>
    </row>
    <row r="97" spans="1:7" s="771" customFormat="1" ht="25.5">
      <c r="A97" s="566">
        <v>61</v>
      </c>
      <c r="B97" s="564"/>
      <c r="C97" s="564" t="s">
        <v>388</v>
      </c>
      <c r="D97" s="311">
        <v>0</v>
      </c>
      <c r="E97" s="310">
        <v>0</v>
      </c>
      <c r="F97" s="311">
        <v>182</v>
      </c>
      <c r="G97" s="310">
        <v>0</v>
      </c>
    </row>
    <row r="98" spans="1:7" s="480" customFormat="1">
      <c r="A98" s="567">
        <v>62</v>
      </c>
      <c r="B98" s="565"/>
      <c r="C98" s="565" t="s">
        <v>387</v>
      </c>
      <c r="D98" s="317">
        <v>0</v>
      </c>
      <c r="E98" s="316">
        <v>0</v>
      </c>
      <c r="F98" s="317">
        <v>0</v>
      </c>
      <c r="G98" s="316">
        <v>0</v>
      </c>
    </row>
    <row r="99" spans="1:7" s="480" customFormat="1">
      <c r="A99" s="567">
        <v>63</v>
      </c>
      <c r="B99" s="565"/>
      <c r="C99" s="565" t="s">
        <v>386</v>
      </c>
      <c r="D99" s="317">
        <v>21335</v>
      </c>
      <c r="E99" s="316">
        <v>27086</v>
      </c>
      <c r="F99" s="317">
        <v>34666</v>
      </c>
      <c r="G99" s="316">
        <v>15168</v>
      </c>
    </row>
    <row r="100" spans="1:7" s="480" customFormat="1">
      <c r="A100" s="567">
        <v>64</v>
      </c>
      <c r="B100" s="565"/>
      <c r="C100" s="565" t="s">
        <v>385</v>
      </c>
      <c r="D100" s="317">
        <v>8537</v>
      </c>
      <c r="E100" s="316">
        <v>10303</v>
      </c>
      <c r="F100" s="317">
        <v>8562</v>
      </c>
      <c r="G100" s="316">
        <v>10762</v>
      </c>
    </row>
    <row r="101" spans="1:7" s="480" customFormat="1">
      <c r="A101" s="567">
        <v>65</v>
      </c>
      <c r="B101" s="565"/>
      <c r="C101" s="565" t="s">
        <v>384</v>
      </c>
      <c r="D101" s="317">
        <v>46</v>
      </c>
      <c r="E101" s="316">
        <v>0</v>
      </c>
      <c r="F101" s="317">
        <v>0</v>
      </c>
      <c r="G101" s="316">
        <v>0</v>
      </c>
    </row>
    <row r="102" spans="1:7" s="771" customFormat="1">
      <c r="A102" s="566">
        <v>66</v>
      </c>
      <c r="B102" s="564"/>
      <c r="C102" s="564" t="s">
        <v>383</v>
      </c>
      <c r="D102" s="311">
        <v>294</v>
      </c>
      <c r="E102" s="310">
        <v>70</v>
      </c>
      <c r="F102" s="311">
        <v>126</v>
      </c>
      <c r="G102" s="310">
        <v>70</v>
      </c>
    </row>
    <row r="103" spans="1:7" s="480" customFormat="1">
      <c r="A103" s="567">
        <v>67</v>
      </c>
      <c r="B103" s="565"/>
      <c r="C103" s="565" t="s">
        <v>382</v>
      </c>
      <c r="D103" s="317">
        <v>15303</v>
      </c>
      <c r="E103" s="361">
        <v>14805</v>
      </c>
      <c r="F103" s="317">
        <v>14291</v>
      </c>
      <c r="G103" s="361">
        <v>20222</v>
      </c>
    </row>
    <row r="104" spans="1:7" s="480" customFormat="1" ht="38.25">
      <c r="A104" s="566" t="s">
        <v>142</v>
      </c>
      <c r="B104" s="565"/>
      <c r="C104" s="564" t="s">
        <v>381</v>
      </c>
      <c r="D104" s="317"/>
      <c r="E104" s="369"/>
      <c r="F104" s="317">
        <v>0</v>
      </c>
      <c r="G104" s="316">
        <v>0</v>
      </c>
    </row>
    <row r="105" spans="1:7" s="480" customFormat="1" ht="56.45" customHeight="1">
      <c r="A105" s="562" t="s">
        <v>380</v>
      </c>
      <c r="B105" s="561"/>
      <c r="C105" s="560" t="s">
        <v>379</v>
      </c>
      <c r="D105" s="333"/>
      <c r="E105" s="373"/>
      <c r="F105" s="333">
        <v>0</v>
      </c>
      <c r="G105" s="372">
        <v>0</v>
      </c>
    </row>
    <row r="106" spans="1:7">
      <c r="A106" s="557">
        <v>6</v>
      </c>
      <c r="B106" s="555"/>
      <c r="C106" s="555" t="s">
        <v>378</v>
      </c>
      <c r="D106" s="348">
        <f>SUM(D96:D105)</f>
        <v>45515</v>
      </c>
      <c r="E106" s="348">
        <f>SUM(E96:E105)</f>
        <v>52264</v>
      </c>
      <c r="F106" s="348">
        <f>SUM(F96:F105)</f>
        <v>57858</v>
      </c>
      <c r="G106" s="348">
        <f>SUM(G96:G105)</f>
        <v>46222</v>
      </c>
    </row>
    <row r="107" spans="1:7">
      <c r="A107" s="770" t="s">
        <v>137</v>
      </c>
      <c r="B107" s="556"/>
      <c r="C107" s="555" t="s">
        <v>4</v>
      </c>
      <c r="D107" s="348">
        <f>(D95-D88)-(D106-D103)</f>
        <v>142082</v>
      </c>
      <c r="E107" s="348">
        <f>(E95-E88)-(E106-E103)</f>
        <v>144269</v>
      </c>
      <c r="F107" s="348">
        <f>(F95-F88)-(F106-F103)</f>
        <v>117280</v>
      </c>
      <c r="G107" s="348">
        <f>(G95-G88)-(G106-G103)</f>
        <v>139246</v>
      </c>
    </row>
    <row r="108" spans="1:7">
      <c r="A108" s="769" t="s">
        <v>136</v>
      </c>
      <c r="B108" s="554"/>
      <c r="C108" s="553" t="s">
        <v>377</v>
      </c>
      <c r="D108" s="348">
        <f>D107-D85-D86+D100+D101</f>
        <v>142347</v>
      </c>
      <c r="E108" s="348">
        <f>E107-E85-E86+E100+E101</f>
        <v>138055</v>
      </c>
      <c r="F108" s="348">
        <f>F107-F85-F86+F100+F101</f>
        <v>117658</v>
      </c>
      <c r="G108" s="348">
        <f>G107-G85-G86+G100+G101</f>
        <v>136609</v>
      </c>
    </row>
    <row r="109" spans="1:7">
      <c r="A109" s="762"/>
      <c r="B109" s="534"/>
      <c r="C109" s="533"/>
      <c r="D109" s="260"/>
      <c r="E109" s="260"/>
      <c r="F109" s="260"/>
      <c r="G109" s="260"/>
    </row>
    <row r="110" spans="1:7" s="512" customFormat="1">
      <c r="A110" s="768" t="s">
        <v>376</v>
      </c>
      <c r="B110" s="551"/>
      <c r="C110" s="550"/>
      <c r="D110" s="260"/>
      <c r="E110" s="260"/>
      <c r="F110" s="260"/>
      <c r="G110" s="260"/>
    </row>
    <row r="111" spans="1:7" s="516" customFormat="1">
      <c r="A111" s="761">
        <v>10</v>
      </c>
      <c r="B111" s="531"/>
      <c r="C111" s="531" t="s">
        <v>375</v>
      </c>
      <c r="D111" s="327">
        <f>D112+D117</f>
        <v>1790566</v>
      </c>
      <c r="E111" s="326">
        <f>E112+E117</f>
        <v>0</v>
      </c>
      <c r="F111" s="327">
        <f>F112+F117</f>
        <v>1826332</v>
      </c>
      <c r="G111" s="326">
        <f>G112+G117</f>
        <v>0</v>
      </c>
    </row>
    <row r="112" spans="1:7" s="516" customFormat="1">
      <c r="A112" s="539" t="s">
        <v>132</v>
      </c>
      <c r="B112" s="519"/>
      <c r="C112" s="519" t="s">
        <v>374</v>
      </c>
      <c r="D112" s="327">
        <f>D113+D114+D115+D116</f>
        <v>1178946</v>
      </c>
      <c r="E112" s="326">
        <f>E113+E114+E115+E116</f>
        <v>0</v>
      </c>
      <c r="F112" s="327">
        <f>F113+F114+F115+F116</f>
        <v>1273753</v>
      </c>
      <c r="G112" s="326">
        <f>G113+G114+G115+G116</f>
        <v>0</v>
      </c>
    </row>
    <row r="113" spans="1:7" s="516" customFormat="1">
      <c r="A113" s="537" t="s">
        <v>130</v>
      </c>
      <c r="B113" s="526"/>
      <c r="C113" s="526" t="s">
        <v>373</v>
      </c>
      <c r="D113" s="317">
        <v>976361</v>
      </c>
      <c r="E113" s="316"/>
      <c r="F113" s="317">
        <v>1142206</v>
      </c>
      <c r="G113" s="316"/>
    </row>
    <row r="114" spans="1:7" s="546" customFormat="1" ht="15" customHeight="1">
      <c r="A114" s="524">
        <v>102</v>
      </c>
      <c r="B114" s="665"/>
      <c r="C114" s="665" t="s">
        <v>372</v>
      </c>
      <c r="D114" s="343">
        <v>37865</v>
      </c>
      <c r="E114" s="342"/>
      <c r="F114" s="343">
        <v>0</v>
      </c>
      <c r="G114" s="342"/>
    </row>
    <row r="115" spans="1:7" s="516" customFormat="1">
      <c r="A115" s="537">
        <v>104</v>
      </c>
      <c r="B115" s="526"/>
      <c r="C115" s="526" t="s">
        <v>371</v>
      </c>
      <c r="D115" s="317">
        <v>159537</v>
      </c>
      <c r="E115" s="316"/>
      <c r="F115" s="317">
        <v>127093</v>
      </c>
      <c r="G115" s="316"/>
    </row>
    <row r="116" spans="1:7" s="516" customFormat="1">
      <c r="A116" s="537">
        <v>106</v>
      </c>
      <c r="B116" s="526"/>
      <c r="C116" s="526" t="s">
        <v>370</v>
      </c>
      <c r="D116" s="317">
        <v>5183</v>
      </c>
      <c r="E116" s="316"/>
      <c r="F116" s="317">
        <v>4454</v>
      </c>
      <c r="G116" s="316"/>
    </row>
    <row r="117" spans="1:7" s="516" customFormat="1">
      <c r="A117" s="539" t="s">
        <v>125</v>
      </c>
      <c r="B117" s="519"/>
      <c r="C117" s="519" t="s">
        <v>369</v>
      </c>
      <c r="D117" s="327">
        <f>D118+D119+D120</f>
        <v>611620</v>
      </c>
      <c r="E117" s="326">
        <f>E118+E119+E120</f>
        <v>0</v>
      </c>
      <c r="F117" s="327">
        <f>F118+F119+F120</f>
        <v>552579</v>
      </c>
      <c r="G117" s="326">
        <f>G118+G119+G120</f>
        <v>0</v>
      </c>
    </row>
    <row r="118" spans="1:7" s="516" customFormat="1">
      <c r="A118" s="537">
        <v>107</v>
      </c>
      <c r="B118" s="526"/>
      <c r="C118" s="526" t="s">
        <v>368</v>
      </c>
      <c r="D118" s="317">
        <v>597373</v>
      </c>
      <c r="E118" s="316"/>
      <c r="F118" s="317">
        <v>550883</v>
      </c>
      <c r="G118" s="316"/>
    </row>
    <row r="119" spans="1:7" s="516" customFormat="1">
      <c r="A119" s="537">
        <v>108</v>
      </c>
      <c r="B119" s="526"/>
      <c r="C119" s="526" t="s">
        <v>367</v>
      </c>
      <c r="D119" s="317">
        <v>14247</v>
      </c>
      <c r="E119" s="316"/>
      <c r="F119" s="317">
        <v>1696</v>
      </c>
      <c r="G119" s="316"/>
    </row>
    <row r="120" spans="1:7" s="538" customFormat="1" ht="25.5">
      <c r="A120" s="524">
        <v>109</v>
      </c>
      <c r="B120" s="523"/>
      <c r="C120" s="523" t="s">
        <v>366</v>
      </c>
      <c r="D120" s="311">
        <v>0</v>
      </c>
      <c r="E120" s="310"/>
      <c r="F120" s="311">
        <v>0</v>
      </c>
      <c r="G120" s="310"/>
    </row>
    <row r="121" spans="1:7" s="516" customFormat="1">
      <c r="A121" s="539">
        <v>14</v>
      </c>
      <c r="B121" s="519"/>
      <c r="C121" s="519" t="s">
        <v>365</v>
      </c>
      <c r="D121" s="327">
        <f>SUM(D122:D130)</f>
        <v>833440</v>
      </c>
      <c r="E121" s="327">
        <f>SUM(E122:E130)</f>
        <v>0</v>
      </c>
      <c r="F121" s="327">
        <f>SUM(F122:F130)</f>
        <v>844837</v>
      </c>
      <c r="G121" s="327">
        <f>SUM(G122:G130)</f>
        <v>0</v>
      </c>
    </row>
    <row r="122" spans="1:7" s="516" customFormat="1">
      <c r="A122" s="537" t="s">
        <v>119</v>
      </c>
      <c r="B122" s="526"/>
      <c r="C122" s="526" t="s">
        <v>364</v>
      </c>
      <c r="D122" s="317">
        <v>513061</v>
      </c>
      <c r="E122" s="316"/>
      <c r="F122" s="317">
        <v>515537</v>
      </c>
      <c r="G122" s="316"/>
    </row>
    <row r="123" spans="1:7" s="516" customFormat="1">
      <c r="A123" s="537">
        <v>144</v>
      </c>
      <c r="B123" s="526"/>
      <c r="C123" s="526" t="s">
        <v>363</v>
      </c>
      <c r="D123" s="317">
        <v>188920</v>
      </c>
      <c r="E123" s="316"/>
      <c r="F123" s="317">
        <v>185341</v>
      </c>
      <c r="G123" s="316"/>
    </row>
    <row r="124" spans="1:7" s="516" customFormat="1">
      <c r="A124" s="537">
        <v>145</v>
      </c>
      <c r="B124" s="526"/>
      <c r="C124" s="526" t="s">
        <v>362</v>
      </c>
      <c r="D124" s="317">
        <v>131459</v>
      </c>
      <c r="E124" s="304"/>
      <c r="F124" s="317">
        <v>143959</v>
      </c>
      <c r="G124" s="304"/>
    </row>
    <row r="125" spans="1:7" s="516" customFormat="1">
      <c r="A125" s="537">
        <v>146</v>
      </c>
      <c r="B125" s="526"/>
      <c r="C125" s="526" t="s">
        <v>361</v>
      </c>
      <c r="D125" s="317">
        <v>0</v>
      </c>
      <c r="E125" s="304"/>
      <c r="F125" s="317">
        <v>0</v>
      </c>
      <c r="G125" s="304"/>
    </row>
    <row r="126" spans="1:7" s="538" customFormat="1" ht="29.45" customHeight="1">
      <c r="A126" s="524" t="s">
        <v>114</v>
      </c>
      <c r="B126" s="523"/>
      <c r="C126" s="523" t="s">
        <v>360</v>
      </c>
      <c r="D126" s="311">
        <v>0</v>
      </c>
      <c r="E126" s="339"/>
      <c r="F126" s="311">
        <v>0</v>
      </c>
      <c r="G126" s="339"/>
    </row>
    <row r="127" spans="1:7" s="516" customFormat="1">
      <c r="A127" s="537">
        <v>1484</v>
      </c>
      <c r="B127" s="526"/>
      <c r="C127" s="526" t="s">
        <v>359</v>
      </c>
      <c r="D127" s="317">
        <v>0</v>
      </c>
      <c r="E127" s="304"/>
      <c r="F127" s="317">
        <v>0</v>
      </c>
      <c r="G127" s="304"/>
    </row>
    <row r="128" spans="1:7" s="538" customFormat="1">
      <c r="A128" s="524">
        <v>1485</v>
      </c>
      <c r="B128" s="523"/>
      <c r="C128" s="523" t="s">
        <v>358</v>
      </c>
      <c r="D128" s="311">
        <v>0</v>
      </c>
      <c r="E128" s="339"/>
      <c r="F128" s="311">
        <v>0</v>
      </c>
      <c r="G128" s="339"/>
    </row>
    <row r="129" spans="1:7" s="538" customFormat="1" ht="25.5">
      <c r="A129" s="524">
        <v>1486</v>
      </c>
      <c r="B129" s="523"/>
      <c r="C129" s="523" t="s">
        <v>357</v>
      </c>
      <c r="D129" s="311">
        <v>0</v>
      </c>
      <c r="E129" s="339"/>
      <c r="F129" s="311">
        <v>0</v>
      </c>
      <c r="G129" s="339"/>
    </row>
    <row r="130" spans="1:7" s="538" customFormat="1">
      <c r="A130" s="767">
        <v>1489</v>
      </c>
      <c r="B130" s="766"/>
      <c r="C130" s="766" t="s">
        <v>356</v>
      </c>
      <c r="D130" s="764">
        <v>0</v>
      </c>
      <c r="E130" s="763"/>
      <c r="F130" s="764">
        <v>0</v>
      </c>
      <c r="G130" s="763"/>
    </row>
    <row r="131" spans="1:7" s="512" customFormat="1">
      <c r="A131" s="760">
        <v>1</v>
      </c>
      <c r="B131" s="514"/>
      <c r="C131" s="515" t="s">
        <v>355</v>
      </c>
      <c r="D131" s="295">
        <f>D111+D121</f>
        <v>2624006</v>
      </c>
      <c r="E131" s="295">
        <f>E111+E121</f>
        <v>0</v>
      </c>
      <c r="F131" s="295">
        <f>F111+F121</f>
        <v>2671169</v>
      </c>
      <c r="G131" s="295">
        <f>G111+G121</f>
        <v>0</v>
      </c>
    </row>
    <row r="132" spans="1:7" s="512" customFormat="1">
      <c r="A132" s="762"/>
      <c r="B132" s="534"/>
      <c r="C132" s="533"/>
      <c r="D132" s="260"/>
      <c r="E132" s="260"/>
      <c r="F132" s="260"/>
      <c r="G132" s="260"/>
    </row>
    <row r="133" spans="1:7" s="516" customFormat="1">
      <c r="A133" s="761">
        <v>20</v>
      </c>
      <c r="B133" s="531"/>
      <c r="C133" s="531" t="s">
        <v>354</v>
      </c>
      <c r="D133" s="329">
        <f>D134+D140</f>
        <v>1071812</v>
      </c>
      <c r="E133" s="530">
        <f>E134+E140</f>
        <v>0</v>
      </c>
      <c r="F133" s="329">
        <f>F134+F140</f>
        <v>1123086</v>
      </c>
      <c r="G133" s="530">
        <f>G134+G140</f>
        <v>0</v>
      </c>
    </row>
    <row r="134" spans="1:7" s="516" customFormat="1">
      <c r="A134" s="520" t="s">
        <v>106</v>
      </c>
      <c r="B134" s="519"/>
      <c r="C134" s="519" t="s">
        <v>353</v>
      </c>
      <c r="D134" s="327">
        <f>D135+D136+D138+D139</f>
        <v>791066</v>
      </c>
      <c r="E134" s="326">
        <f>E135+E136+E138+E139</f>
        <v>0</v>
      </c>
      <c r="F134" s="327">
        <f>F135+F136+F138+F139</f>
        <v>908479</v>
      </c>
      <c r="G134" s="326">
        <f>G135+G136+G138+G139</f>
        <v>0</v>
      </c>
    </row>
    <row r="135" spans="1:7" s="525" customFormat="1">
      <c r="A135" s="527">
        <v>200</v>
      </c>
      <c r="B135" s="526"/>
      <c r="C135" s="526" t="s">
        <v>352</v>
      </c>
      <c r="D135" s="317">
        <v>455748</v>
      </c>
      <c r="E135" s="316"/>
      <c r="F135" s="317">
        <v>556131</v>
      </c>
      <c r="G135" s="316"/>
    </row>
    <row r="136" spans="1:7" s="525" customFormat="1">
      <c r="A136" s="527">
        <v>201</v>
      </c>
      <c r="B136" s="526"/>
      <c r="C136" s="526" t="s">
        <v>351</v>
      </c>
      <c r="D136" s="317"/>
      <c r="E136" s="316"/>
      <c r="F136" s="317">
        <v>0</v>
      </c>
      <c r="G136" s="316"/>
    </row>
    <row r="137" spans="1:7" s="525" customFormat="1">
      <c r="A137" s="529" t="s">
        <v>350</v>
      </c>
      <c r="B137" s="528"/>
      <c r="C137" s="528" t="s">
        <v>349</v>
      </c>
      <c r="D137" s="322"/>
      <c r="E137" s="328"/>
      <c r="F137" s="322">
        <v>0</v>
      </c>
      <c r="G137" s="328"/>
    </row>
    <row r="138" spans="1:7" s="525" customFormat="1">
      <c r="A138" s="527">
        <v>204</v>
      </c>
      <c r="B138" s="526"/>
      <c r="C138" s="526" t="s">
        <v>348</v>
      </c>
      <c r="D138" s="317">
        <v>335318</v>
      </c>
      <c r="E138" s="304"/>
      <c r="F138" s="317">
        <v>352348</v>
      </c>
      <c r="G138" s="304"/>
    </row>
    <row r="139" spans="1:7" s="525" customFormat="1">
      <c r="A139" s="527">
        <v>205</v>
      </c>
      <c r="B139" s="526"/>
      <c r="C139" s="526" t="s">
        <v>347</v>
      </c>
      <c r="D139" s="317"/>
      <c r="E139" s="304"/>
      <c r="F139" s="317">
        <v>0</v>
      </c>
      <c r="G139" s="304"/>
    </row>
    <row r="140" spans="1:7" s="525" customFormat="1">
      <c r="A140" s="520" t="s">
        <v>98</v>
      </c>
      <c r="B140" s="519"/>
      <c r="C140" s="519" t="s">
        <v>346</v>
      </c>
      <c r="D140" s="327">
        <f>D141+D143+D144</f>
        <v>280746</v>
      </c>
      <c r="E140" s="326">
        <f>E141+E143+E144</f>
        <v>0</v>
      </c>
      <c r="F140" s="327">
        <f>F141+F143+F144</f>
        <v>214607</v>
      </c>
      <c r="G140" s="326">
        <f>G141+G143+G144</f>
        <v>0</v>
      </c>
    </row>
    <row r="141" spans="1:7" s="525" customFormat="1">
      <c r="A141" s="527">
        <v>206</v>
      </c>
      <c r="B141" s="526"/>
      <c r="C141" s="526" t="s">
        <v>345</v>
      </c>
      <c r="D141" s="317">
        <v>50000</v>
      </c>
      <c r="E141" s="304"/>
      <c r="F141" s="317">
        <v>0</v>
      </c>
      <c r="G141" s="304"/>
    </row>
    <row r="142" spans="1:7" s="525" customFormat="1">
      <c r="A142" s="529" t="s">
        <v>344</v>
      </c>
      <c r="B142" s="528"/>
      <c r="C142" s="528" t="s">
        <v>343</v>
      </c>
      <c r="D142" s="322"/>
      <c r="E142" s="328"/>
      <c r="F142" s="322">
        <v>0</v>
      </c>
      <c r="G142" s="328"/>
    </row>
    <row r="143" spans="1:7" s="525" customFormat="1">
      <c r="A143" s="527">
        <v>208</v>
      </c>
      <c r="B143" s="526"/>
      <c r="C143" s="526" t="s">
        <v>342</v>
      </c>
      <c r="D143" s="317">
        <v>188211</v>
      </c>
      <c r="E143" s="304"/>
      <c r="F143" s="317">
        <v>169576</v>
      </c>
      <c r="G143" s="304"/>
    </row>
    <row r="144" spans="1:7" s="521" customFormat="1" ht="25.5">
      <c r="A144" s="524">
        <v>209</v>
      </c>
      <c r="B144" s="523"/>
      <c r="C144" s="523" t="s">
        <v>341</v>
      </c>
      <c r="D144" s="311">
        <v>42535</v>
      </c>
      <c r="E144" s="339"/>
      <c r="F144" s="311">
        <v>45031</v>
      </c>
      <c r="G144" s="339"/>
    </row>
    <row r="145" spans="1:7" s="516" customFormat="1">
      <c r="A145" s="520">
        <v>29</v>
      </c>
      <c r="B145" s="519"/>
      <c r="C145" s="519" t="s">
        <v>340</v>
      </c>
      <c r="D145" s="305">
        <v>1552194</v>
      </c>
      <c r="E145" s="304"/>
      <c r="F145" s="305">
        <v>1548083</v>
      </c>
      <c r="G145" s="304"/>
    </row>
    <row r="146" spans="1:7" s="516" customFormat="1">
      <c r="A146" s="518" t="s">
        <v>339</v>
      </c>
      <c r="B146" s="517"/>
      <c r="C146" s="517" t="s">
        <v>338</v>
      </c>
      <c r="D146" s="300"/>
      <c r="E146" s="299"/>
      <c r="F146" s="300">
        <v>0</v>
      </c>
      <c r="G146" s="299"/>
    </row>
    <row r="147" spans="1:7" s="512" customFormat="1">
      <c r="A147" s="760">
        <v>2</v>
      </c>
      <c r="B147" s="514"/>
      <c r="C147" s="515" t="s">
        <v>337</v>
      </c>
      <c r="D147" s="295">
        <f>D133+D145</f>
        <v>2624006</v>
      </c>
      <c r="E147" s="295">
        <f>E133+E145</f>
        <v>0</v>
      </c>
      <c r="F147" s="295">
        <f>F133+F145</f>
        <v>2671169</v>
      </c>
      <c r="G147" s="295">
        <f>G133+G145</f>
        <v>0</v>
      </c>
    </row>
    <row r="148" spans="1:7" ht="7.5" customHeight="1">
      <c r="D148" s="512"/>
      <c r="F148" s="512"/>
    </row>
    <row r="149" spans="1:7" ht="13.5" customHeight="1">
      <c r="A149" s="759" t="s">
        <v>336</v>
      </c>
      <c r="B149" s="509"/>
      <c r="C149" s="664"/>
      <c r="D149" s="509"/>
      <c r="E149" s="509"/>
      <c r="F149" s="509"/>
      <c r="G149" s="509"/>
    </row>
    <row r="150" spans="1:7">
      <c r="A150" s="657" t="s">
        <v>335</v>
      </c>
      <c r="B150" s="657"/>
      <c r="C150" s="657" t="s">
        <v>334</v>
      </c>
      <c r="D150" s="268">
        <f>D77+SUM(D8:D12)-D30-D31+D16-D33+D59+D63-D73+D64-D74-D54+D20-D35</f>
        <v>117791</v>
      </c>
      <c r="E150" s="268">
        <f>E77+SUM(E8:E12)-E30-E31+E16-E33+E59+E63-E73+E64-E74-E54+E20-E35</f>
        <v>120884</v>
      </c>
      <c r="F150" s="268">
        <f>F77+SUM(F8:F12)-F30-F31+F16-F33+F59+F63-F73+F64-F74-F54+F20-F35</f>
        <v>94261</v>
      </c>
      <c r="G150" s="268">
        <f>G77+SUM(G8:G12)-G30-G31+G16-G33+G59+G63-G73+G64-G74-G54+G20-G35</f>
        <v>77177</v>
      </c>
    </row>
    <row r="151" spans="1:7">
      <c r="A151" s="653" t="s">
        <v>333</v>
      </c>
      <c r="B151" s="653"/>
      <c r="C151" s="653" t="s">
        <v>332</v>
      </c>
      <c r="D151" s="269">
        <f>IF(D177=0,0,D150/D177)</f>
        <v>4.0106190785222089E-2</v>
      </c>
      <c r="E151" s="269">
        <f>IF(E177=0,0,E150/E177)</f>
        <v>4.116996762501967E-2</v>
      </c>
      <c r="F151" s="269">
        <f>IF(F177=0,0,F150/F177)</f>
        <v>3.1469131466527425E-2</v>
      </c>
      <c r="G151" s="269">
        <f>IF(G177=0,0,G150/G177)</f>
        <v>2.5672140254236583E-2</v>
      </c>
    </row>
    <row r="152" spans="1:7" s="504" customFormat="1" ht="25.5">
      <c r="A152" s="663" t="s">
        <v>330</v>
      </c>
      <c r="B152" s="663"/>
      <c r="C152" s="663" t="s">
        <v>331</v>
      </c>
      <c r="D152" s="274">
        <f>IF(D107=0,0,D150/D107)</f>
        <v>0.82903534578623617</v>
      </c>
      <c r="E152" s="274">
        <f>IF(E107=0,0,E150/E107)</f>
        <v>0.83790696546035526</v>
      </c>
      <c r="F152" s="274">
        <f>IF(F107=0,0,F150/F107)</f>
        <v>0.80372612551159617</v>
      </c>
      <c r="G152" s="274">
        <f>IF(G107=0,0,G150/G107)</f>
        <v>0.55424931416342305</v>
      </c>
    </row>
    <row r="153" spans="1:7" s="504" customFormat="1" ht="25.5">
      <c r="A153" s="662" t="s">
        <v>330</v>
      </c>
      <c r="B153" s="662"/>
      <c r="C153" s="662" t="s">
        <v>329</v>
      </c>
      <c r="D153" s="758">
        <f>IF(0=D108,0,D150/D108)</f>
        <v>0.82749197383857753</v>
      </c>
      <c r="E153" s="758">
        <f>IF(0=E108,0,E150/E108)</f>
        <v>0.87562203469631672</v>
      </c>
      <c r="F153" s="758">
        <f>IF(0=F108,0,F150/F108)</f>
        <v>0.80114399360859445</v>
      </c>
      <c r="G153" s="758">
        <f>IF(0=G108,0,G150/G108)</f>
        <v>0.56494813665278276</v>
      </c>
    </row>
    <row r="154" spans="1:7" s="504" customFormat="1" ht="25.5">
      <c r="A154" s="661" t="s">
        <v>328</v>
      </c>
      <c r="B154" s="661"/>
      <c r="C154" s="661" t="s">
        <v>327</v>
      </c>
      <c r="D154" s="282">
        <f>D150-D107</f>
        <v>-24291</v>
      </c>
      <c r="E154" s="282">
        <f>E150-E107</f>
        <v>-23385</v>
      </c>
      <c r="F154" s="282">
        <f>F150-F107</f>
        <v>-23019</v>
      </c>
      <c r="G154" s="282">
        <f>G150-G107</f>
        <v>-62069</v>
      </c>
    </row>
    <row r="155" spans="1:7" ht="27.6" customHeight="1">
      <c r="A155" s="659" t="s">
        <v>326</v>
      </c>
      <c r="B155" s="659"/>
      <c r="C155" s="659" t="s">
        <v>325</v>
      </c>
      <c r="D155" s="279">
        <f>D150-D108</f>
        <v>-24556</v>
      </c>
      <c r="E155" s="279">
        <f>E150-E108</f>
        <v>-17171</v>
      </c>
      <c r="F155" s="279">
        <f>F150-F108</f>
        <v>-23397</v>
      </c>
      <c r="G155" s="279">
        <f>G150-G108</f>
        <v>-59432</v>
      </c>
    </row>
    <row r="156" spans="1:7">
      <c r="A156" s="657" t="s">
        <v>324</v>
      </c>
      <c r="B156" s="657"/>
      <c r="C156" s="657" t="s">
        <v>323</v>
      </c>
      <c r="D156" s="277">
        <f>D135+D136-D137+D141-D142</f>
        <v>505748</v>
      </c>
      <c r="E156" s="277">
        <f>E135+E136-E137+E141-E142</f>
        <v>0</v>
      </c>
      <c r="F156" s="277">
        <f>F135+F136-F137+F141-F142</f>
        <v>556131</v>
      </c>
      <c r="G156" s="277">
        <f>G135+G136-G137+G141-G142</f>
        <v>0</v>
      </c>
    </row>
    <row r="157" spans="1:7">
      <c r="A157" s="655" t="s">
        <v>322</v>
      </c>
      <c r="B157" s="655"/>
      <c r="C157" s="655" t="s">
        <v>321</v>
      </c>
      <c r="D157" s="273">
        <f>IF(D177=0,0,D156/D177)</f>
        <v>0.17220013224477676</v>
      </c>
      <c r="E157" s="273">
        <f>IF(E177=0,0,E156/E177)</f>
        <v>0</v>
      </c>
      <c r="F157" s="273">
        <f>IF(F177=0,0,F156/F177)</f>
        <v>0.18566490437838942</v>
      </c>
      <c r="G157" s="273">
        <f>IF(G177=0,0,G156/G177)</f>
        <v>0</v>
      </c>
    </row>
    <row r="158" spans="1:7">
      <c r="A158" s="657" t="s">
        <v>320</v>
      </c>
      <c r="B158" s="657"/>
      <c r="C158" s="657" t="s">
        <v>319</v>
      </c>
      <c r="D158" s="277">
        <f>D133-D142-D111</f>
        <v>-718754</v>
      </c>
      <c r="E158" s="277">
        <f>E133-E142-E111</f>
        <v>0</v>
      </c>
      <c r="F158" s="277">
        <f>F133-F142-F111</f>
        <v>-703246</v>
      </c>
      <c r="G158" s="277">
        <f>G133-G142-G111</f>
        <v>0</v>
      </c>
    </row>
    <row r="159" spans="1:7">
      <c r="A159" s="653" t="s">
        <v>318</v>
      </c>
      <c r="B159" s="653"/>
      <c r="C159" s="653" t="s">
        <v>317</v>
      </c>
      <c r="D159" s="265">
        <f>D121-D123-D124-D142-D145</f>
        <v>-1039133</v>
      </c>
      <c r="E159" s="265">
        <f>E121-E123-E124-E142-E145</f>
        <v>0</v>
      </c>
      <c r="F159" s="265">
        <f>F121-F123-F124-F142-F145</f>
        <v>-1032546</v>
      </c>
      <c r="G159" s="265">
        <f>G121-G123-G124-G142-G145</f>
        <v>0</v>
      </c>
    </row>
    <row r="160" spans="1:7">
      <c r="A160" s="653" t="s">
        <v>315</v>
      </c>
      <c r="B160" s="653"/>
      <c r="C160" s="653" t="s">
        <v>316</v>
      </c>
      <c r="D160" s="276">
        <f>IF(D175=0,"-",1000*D158/D175)</f>
        <v>-2415.7118706160327</v>
      </c>
      <c r="E160" s="276">
        <f>IF(E175=0,"-",1000*E158/E175)</f>
        <v>0</v>
      </c>
      <c r="F160" s="276">
        <f>IF(F175=0,"-",1000*F158/F175)</f>
        <v>-2363.0577956989246</v>
      </c>
      <c r="G160" s="276">
        <f>IF(G175=0,"-",1000*G158/G175)</f>
        <v>0</v>
      </c>
    </row>
    <row r="161" spans="1:7">
      <c r="A161" s="653" t="s">
        <v>315</v>
      </c>
      <c r="B161" s="653"/>
      <c r="C161" s="653" t="s">
        <v>314</v>
      </c>
      <c r="D161" s="265">
        <f>IF(D175=0,0,1000*(D159/D175))</f>
        <v>-3492.4966306258466</v>
      </c>
      <c r="E161" s="265">
        <f>IF(E175=0,0,1000*(E159/E175))</f>
        <v>0</v>
      </c>
      <c r="F161" s="265">
        <f>IF(F175=0,0,1000*(F159/F175))</f>
        <v>-3469.5766129032259</v>
      </c>
      <c r="G161" s="265">
        <f>IF(G175=0,0,1000*(G159/G175))</f>
        <v>0</v>
      </c>
    </row>
    <row r="162" spans="1:7">
      <c r="A162" s="655" t="s">
        <v>313</v>
      </c>
      <c r="B162" s="655"/>
      <c r="C162" s="655" t="s">
        <v>312</v>
      </c>
      <c r="D162" s="273">
        <f>IF((D22+D23+D65+D66)=0,0,D158/(D22+D23+D65+D66))</f>
        <v>-0.6321573000898868</v>
      </c>
      <c r="E162" s="273">
        <f>IF((E22+E23+E65+E66)=0,0,E158/(E22+E23+E65+E66))</f>
        <v>0</v>
      </c>
      <c r="F162" s="273">
        <f>IF((F22+F23+F65+F66)=0,0,F158/(F22+F23+F65+F66))</f>
        <v>-0.60159765399105536</v>
      </c>
      <c r="G162" s="273">
        <f>IF((G22+G23+G65+G66)=0,0,G158/(G22+G23+G65+G66))</f>
        <v>0</v>
      </c>
    </row>
    <row r="163" spans="1:7">
      <c r="A163" s="653" t="s">
        <v>311</v>
      </c>
      <c r="B163" s="653"/>
      <c r="C163" s="653" t="s">
        <v>310</v>
      </c>
      <c r="D163" s="268">
        <f>D145</f>
        <v>1552194</v>
      </c>
      <c r="E163" s="268">
        <f>E145</f>
        <v>0</v>
      </c>
      <c r="F163" s="268">
        <f>F145</f>
        <v>1548083</v>
      </c>
      <c r="G163" s="268">
        <f>G145</f>
        <v>0</v>
      </c>
    </row>
    <row r="164" spans="1:7" ht="25.5">
      <c r="A164" s="663" t="s">
        <v>309</v>
      </c>
      <c r="B164" s="655"/>
      <c r="C164" s="655" t="s">
        <v>308</v>
      </c>
      <c r="D164" s="274">
        <f>IF(D178=0,0,D146/D178)</f>
        <v>0</v>
      </c>
      <c r="E164" s="274">
        <f>IF(E178=0,0,E146/E178)</f>
        <v>0</v>
      </c>
      <c r="F164" s="274">
        <f>IF(F178=0,0,F146/F178)</f>
        <v>0</v>
      </c>
      <c r="G164" s="274">
        <f>IF(G178=0,0,G146/G178)</f>
        <v>0</v>
      </c>
    </row>
    <row r="165" spans="1:7">
      <c r="A165" s="651" t="s">
        <v>307</v>
      </c>
      <c r="B165" s="651"/>
      <c r="C165" s="651" t="s">
        <v>306</v>
      </c>
      <c r="D165" s="262">
        <f>IF(D177=0,0,D180/D177)</f>
        <v>3.3871210475529608E-2</v>
      </c>
      <c r="E165" s="262">
        <f>IF(E177=0,0,E180/E177)</f>
        <v>3.8369085674156346E-2</v>
      </c>
      <c r="F165" s="262">
        <f>IF(F177=0,0,F180/F177)</f>
        <v>3.6004831492033644E-2</v>
      </c>
      <c r="G165" s="262">
        <f>IF(G177=0,0,G180/G177)</f>
        <v>3.6777651929061239E-2</v>
      </c>
    </row>
    <row r="166" spans="1:7">
      <c r="A166" s="653" t="s">
        <v>305</v>
      </c>
      <c r="B166" s="653"/>
      <c r="C166" s="653" t="s">
        <v>304</v>
      </c>
      <c r="D166" s="268">
        <f>D55</f>
        <v>72599</v>
      </c>
      <c r="E166" s="268">
        <f>E55</f>
        <v>81489</v>
      </c>
      <c r="F166" s="268">
        <f>F55</f>
        <v>80592</v>
      </c>
      <c r="G166" s="268">
        <f>G55</f>
        <v>85645</v>
      </c>
    </row>
    <row r="167" spans="1:7" s="504" customFormat="1" ht="25.5">
      <c r="A167" s="663" t="s">
        <v>303</v>
      </c>
      <c r="B167" s="655"/>
      <c r="C167" s="655" t="s">
        <v>302</v>
      </c>
      <c r="D167" s="274">
        <f>IF(0=D111,0,(D44+D45+D46+D47+D48)/D111)</f>
        <v>1.1913551357503717E-2</v>
      </c>
      <c r="E167" s="274">
        <f>IF(0=E111,0,(E44+E45+E46+E47+E48)/E111)</f>
        <v>0</v>
      </c>
      <c r="F167" s="274">
        <f>IF(0=F111,0,(F44+F45+F46+F47+F48)/F111)</f>
        <v>7.6672806477683141E-3</v>
      </c>
      <c r="G167" s="274">
        <f>IF(0=G111,0,(G44+G45+G46+G47+G48)/G111)</f>
        <v>0</v>
      </c>
    </row>
    <row r="168" spans="1:7">
      <c r="A168" s="653" t="s">
        <v>301</v>
      </c>
      <c r="B168" s="657"/>
      <c r="C168" s="657" t="s">
        <v>300</v>
      </c>
      <c r="D168" s="268">
        <f>D38-D44</f>
        <v>-6090</v>
      </c>
      <c r="E168" s="268">
        <f>E38-E44</f>
        <v>-13766</v>
      </c>
      <c r="F168" s="268">
        <f>F38-F44</f>
        <v>-8476</v>
      </c>
      <c r="G168" s="268">
        <f>G38-G44</f>
        <v>-11247</v>
      </c>
    </row>
    <row r="169" spans="1:7">
      <c r="A169" s="655" t="s">
        <v>299</v>
      </c>
      <c r="B169" s="655"/>
      <c r="C169" s="655" t="s">
        <v>298</v>
      </c>
      <c r="D169" s="269">
        <f>IF(D177=0,0,D168/D177)</f>
        <v>-2.0735599653793797E-3</v>
      </c>
      <c r="E169" s="269">
        <f>IF(E177=0,0,E168/E177)</f>
        <v>-4.6883439853580358E-3</v>
      </c>
      <c r="F169" s="269">
        <f>IF(F177=0,0,F168/F177)</f>
        <v>-2.829721287810298E-3</v>
      </c>
      <c r="G169" s="269">
        <f>IF(G177=0,0,G168/G177)</f>
        <v>-3.7411995988364259E-3</v>
      </c>
    </row>
    <row r="170" spans="1:7">
      <c r="A170" s="653" t="s">
        <v>297</v>
      </c>
      <c r="B170" s="653"/>
      <c r="C170" s="653" t="s">
        <v>296</v>
      </c>
      <c r="D170" s="268">
        <f>SUM(D82:D87)+SUM(D89:D94)</f>
        <v>172294</v>
      </c>
      <c r="E170" s="268">
        <f>SUM(E82:E87)+SUM(E89:E94)</f>
        <v>181728</v>
      </c>
      <c r="F170" s="268">
        <f>SUM(F82:F87)+SUM(F89:F94)</f>
        <v>160847</v>
      </c>
      <c r="G170" s="268">
        <f>SUM(G82:G87)+SUM(G89:G94)</f>
        <v>165246</v>
      </c>
    </row>
    <row r="171" spans="1:7">
      <c r="A171" s="653" t="s">
        <v>295</v>
      </c>
      <c r="B171" s="653"/>
      <c r="C171" s="653" t="s">
        <v>294</v>
      </c>
      <c r="D171" s="265">
        <f>SUM(D96:D102)+SUM(D104:D105)</f>
        <v>30212</v>
      </c>
      <c r="E171" s="265">
        <f>SUM(E96:E102)+SUM(E104:E105)</f>
        <v>37459</v>
      </c>
      <c r="F171" s="265">
        <f>SUM(F96:F102)+SUM(F104:F105)</f>
        <v>43567</v>
      </c>
      <c r="G171" s="265">
        <f>SUM(G96:G102)+SUM(G104:G105)</f>
        <v>26000</v>
      </c>
    </row>
    <row r="172" spans="1:7">
      <c r="A172" s="651" t="s">
        <v>293</v>
      </c>
      <c r="B172" s="651"/>
      <c r="C172" s="651" t="s">
        <v>292</v>
      </c>
      <c r="D172" s="262">
        <f>IF(D184=0,0,D170/D184)</f>
        <v>5.8141080888094603E-2</v>
      </c>
      <c r="E172" s="262">
        <f>IF(E184=0,0,E170/E184)</f>
        <v>6.132783841372668E-2</v>
      </c>
      <c r="F172" s="262">
        <f>IF(F184=0,0,F170/F184)</f>
        <v>5.3687393023746394E-2</v>
      </c>
      <c r="G172" s="262">
        <f>IF(G184=0,0,G170/G184)</f>
        <v>5.4880260163638464E-2</v>
      </c>
    </row>
    <row r="174" spans="1:7">
      <c r="A174" s="479" t="s">
        <v>291</v>
      </c>
      <c r="B174" s="477"/>
      <c r="C174" s="649"/>
      <c r="D174" s="257"/>
      <c r="E174" s="257"/>
      <c r="F174" s="257"/>
      <c r="G174" s="257"/>
    </row>
    <row r="175" spans="1:7" s="480" customFormat="1">
      <c r="A175" s="478" t="s">
        <v>290</v>
      </c>
      <c r="B175" s="477"/>
      <c r="C175" s="477" t="s">
        <v>289</v>
      </c>
      <c r="D175" s="257">
        <v>297533</v>
      </c>
      <c r="E175" s="257">
        <v>297533</v>
      </c>
      <c r="F175" s="257">
        <v>297600</v>
      </c>
      <c r="G175" s="257">
        <v>297600</v>
      </c>
    </row>
    <row r="176" spans="1:7">
      <c r="A176" s="479" t="s">
        <v>288</v>
      </c>
      <c r="B176" s="477"/>
      <c r="C176" s="477"/>
      <c r="D176" s="477"/>
      <c r="E176" s="477"/>
      <c r="F176" s="477"/>
      <c r="G176" s="477"/>
    </row>
    <row r="177" spans="1:7">
      <c r="A177" s="478" t="s">
        <v>287</v>
      </c>
      <c r="B177" s="477"/>
      <c r="C177" s="477" t="s">
        <v>286</v>
      </c>
      <c r="D177" s="475">
        <f>SUM(D22:D32)+SUM(D44:D53)+SUM(D65:D72)+D75</f>
        <v>2936978</v>
      </c>
      <c r="E177" s="475">
        <f>SUM(E22:E32)+SUM(E44:E53)+SUM(E65:E72)+E75</f>
        <v>2936218</v>
      </c>
      <c r="F177" s="475">
        <f>SUM(F22:F32)+SUM(F44:F53)+SUM(F65:F72)+F75</f>
        <v>2995348</v>
      </c>
      <c r="G177" s="475">
        <f>SUM(G22:G32)+SUM(G44:G53)+SUM(G65:G72)+G75</f>
        <v>3006255</v>
      </c>
    </row>
    <row r="178" spans="1:7">
      <c r="A178" s="478" t="s">
        <v>285</v>
      </c>
      <c r="B178" s="477"/>
      <c r="C178" s="477" t="s">
        <v>284</v>
      </c>
      <c r="D178" s="475">
        <f>D78-D17-D20-D59-D63-D64</f>
        <v>2939165</v>
      </c>
      <c r="E178" s="475">
        <f>E78-E17-E20-E59-E63-E64</f>
        <v>2935679</v>
      </c>
      <c r="F178" s="475">
        <f>F78-F17-F20-F59-F63-F64</f>
        <v>2996582</v>
      </c>
      <c r="G178" s="475">
        <f>G78-G17-G20-G59-G63-G64</f>
        <v>3006081</v>
      </c>
    </row>
    <row r="179" spans="1:7">
      <c r="A179" s="478"/>
      <c r="B179" s="477"/>
      <c r="C179" s="477" t="s">
        <v>283</v>
      </c>
      <c r="D179" s="475">
        <f>D178+D170</f>
        <v>3111459</v>
      </c>
      <c r="E179" s="475">
        <f>E178+E170</f>
        <v>3117407</v>
      </c>
      <c r="F179" s="475">
        <f>F178+F170</f>
        <v>3157429</v>
      </c>
      <c r="G179" s="475">
        <f>G178+G170</f>
        <v>3171327</v>
      </c>
    </row>
    <row r="180" spans="1:7">
      <c r="A180" s="477" t="s">
        <v>282</v>
      </c>
      <c r="B180" s="477"/>
      <c r="C180" s="477" t="s">
        <v>281</v>
      </c>
      <c r="D180" s="475">
        <f>D38-D44+D8+D9+D10+D16-D33</f>
        <v>99479</v>
      </c>
      <c r="E180" s="475">
        <f>E38-E44+E8+E9+E10+E16-E33</f>
        <v>112660</v>
      </c>
      <c r="F180" s="475">
        <f>F38-F44+F8+F9+F10+F16-F33</f>
        <v>107847</v>
      </c>
      <c r="G180" s="475">
        <f>G38-G44+G8+G9+G10+G16-G33</f>
        <v>110563</v>
      </c>
    </row>
    <row r="181" spans="1:7" ht="27.6" customHeight="1">
      <c r="A181" s="474" t="s">
        <v>280</v>
      </c>
      <c r="B181" s="472"/>
      <c r="C181" s="472" t="s">
        <v>279</v>
      </c>
      <c r="D181" s="249">
        <f>D22+D23+D24+D25+D26+D29+SUM(D44:D47)+SUM(D49:D53)-D54+D32-D33+SUM(D65:D70)+D72</f>
        <v>2909885</v>
      </c>
      <c r="E181" s="249">
        <f>E22+E23+E24+E25+E26+E29+SUM(E44:E47)+SUM(E49:E53)-E54+E32-E33+SUM(E65:E70)+E72</f>
        <v>2902258</v>
      </c>
      <c r="F181" s="249">
        <f>F22+F23+F24+F25+F26+F29+SUM(F44:F47)+SUM(F49:F53)-F54+F32-F33+SUM(F65:F70)+F72</f>
        <v>2931148</v>
      </c>
      <c r="G181" s="249">
        <f>G22+G23+G24+G25+G26+G29+SUM(G44:G47)+SUM(G49:G53)-G54+G32-G33+SUM(G65:G70)+G72</f>
        <v>2922899</v>
      </c>
    </row>
    <row r="182" spans="1:7">
      <c r="A182" s="473" t="s">
        <v>278</v>
      </c>
      <c r="B182" s="472"/>
      <c r="C182" s="472" t="s">
        <v>277</v>
      </c>
      <c r="D182" s="249">
        <f>D181+D171</f>
        <v>2940097</v>
      </c>
      <c r="E182" s="249">
        <f>E181+E171</f>
        <v>2939717</v>
      </c>
      <c r="F182" s="249">
        <f>F181+F171</f>
        <v>2974715</v>
      </c>
      <c r="G182" s="249">
        <f>G181+G171</f>
        <v>2948899</v>
      </c>
    </row>
    <row r="183" spans="1:7">
      <c r="A183" s="473" t="s">
        <v>276</v>
      </c>
      <c r="B183" s="472"/>
      <c r="C183" s="472" t="s">
        <v>275</v>
      </c>
      <c r="D183" s="249">
        <f>D4+D5-D7+D38+D39+D40+D41+D43+D13-D16+D57+D58+D60+D62</f>
        <v>2791084</v>
      </c>
      <c r="E183" s="249">
        <f>E4+E5-E7+E38+E39+E40+E41+E43+E13-E16+E57+E58+E60+E62</f>
        <v>2781494</v>
      </c>
      <c r="F183" s="249">
        <f>F4+F5-F7+F38+F39+F40+F41+F43+F13-F16+F57+F58+F60+F62</f>
        <v>2835145</v>
      </c>
      <c r="G183" s="249">
        <f>G4+G5-G7+G38+G39+G40+G41+G43+G13-G16+G57+G58+G60+G62</f>
        <v>2845782</v>
      </c>
    </row>
    <row r="184" spans="1:7">
      <c r="A184" s="473" t="s">
        <v>274</v>
      </c>
      <c r="B184" s="472"/>
      <c r="C184" s="472" t="s">
        <v>273</v>
      </c>
      <c r="D184" s="249">
        <f>D183+D170</f>
        <v>2963378</v>
      </c>
      <c r="E184" s="249">
        <f>E183+E170</f>
        <v>2963222</v>
      </c>
      <c r="F184" s="249">
        <f>F183+F170</f>
        <v>2995992</v>
      </c>
      <c r="G184" s="249">
        <f>G183+G170</f>
        <v>3011028</v>
      </c>
    </row>
    <row r="185" spans="1:7">
      <c r="A185" s="473"/>
      <c r="B185" s="472"/>
      <c r="C185" s="472" t="s">
        <v>272</v>
      </c>
      <c r="D185" s="249">
        <f t="shared" ref="D185:G186" si="0">D181-D183</f>
        <v>118801</v>
      </c>
      <c r="E185" s="249">
        <f t="shared" si="0"/>
        <v>120764</v>
      </c>
      <c r="F185" s="249">
        <f t="shared" si="0"/>
        <v>96003</v>
      </c>
      <c r="G185" s="249">
        <f t="shared" si="0"/>
        <v>77117</v>
      </c>
    </row>
    <row r="186" spans="1:7">
      <c r="A186" s="473"/>
      <c r="B186" s="472"/>
      <c r="C186" s="472" t="s">
        <v>271</v>
      </c>
      <c r="D186" s="249">
        <f t="shared" si="0"/>
        <v>-23281</v>
      </c>
      <c r="E186" s="249">
        <f t="shared" si="0"/>
        <v>-23505</v>
      </c>
      <c r="F186" s="249">
        <f t="shared" si="0"/>
        <v>-21277</v>
      </c>
      <c r="G186" s="249">
        <f t="shared" si="0"/>
        <v>-62129</v>
      </c>
    </row>
  </sheetData>
  <sheetProtection selectLockedCells="1" sort="0" autoFilter="0" pivotTables="0"/>
  <mergeCells count="2">
    <mergeCell ref="A3:C3"/>
    <mergeCell ref="A81:C81"/>
  </mergeCells>
  <pageMargins left="0.23622047244094491" right="0.23622047244094491" top="0.74803149606299213" bottom="0.74803149606299213" header="0.31496062992125984" footer="0.31496062992125984"/>
  <pageSetup paperSize="9" fitToHeight="8" orientation="landscape" r:id="rId1"/>
  <headerFooter alignWithMargins="0">
    <oddHeader>&amp;LFachgruppe für kantonale Finanzfragen (FkF)
Groupe d'études pour les finances cantonales
&amp;CKanton VD&amp;RZürich, 11.05.2015</oddHeader>
    <oddFooter>&amp;L&amp;F / &amp;A</oddFooter>
  </headerFooter>
  <rowBreaks count="2" manualBreakCount="2">
    <brk id="79" max="16383" man="1"/>
    <brk id="148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0">
    <tabColor rgb="FF00B050"/>
  </sheetPr>
  <dimension ref="A1:AK186"/>
  <sheetViews>
    <sheetView zoomScale="115" zoomScaleNormal="115" workbookViewId="0">
      <selection activeCell="G10" sqref="G10"/>
    </sheetView>
  </sheetViews>
  <sheetFormatPr baseColWidth="10" defaultColWidth="11.42578125" defaultRowHeight="12.75"/>
  <cols>
    <col min="1" max="1" width="15.140625" style="470" customWidth="1"/>
    <col min="2" max="2" width="3.7109375" style="470" customWidth="1"/>
    <col min="3" max="3" width="44.7109375" style="470" customWidth="1"/>
    <col min="4" max="16384" width="11.42578125" style="470"/>
  </cols>
  <sheetData>
    <row r="1" spans="1:37" s="642" customFormat="1" ht="18" customHeight="1">
      <c r="A1" s="752" t="s">
        <v>258</v>
      </c>
      <c r="B1" s="810" t="s">
        <v>516</v>
      </c>
      <c r="C1" s="810" t="s">
        <v>515</v>
      </c>
      <c r="D1" s="643" t="s">
        <v>255</v>
      </c>
      <c r="E1" s="644" t="s">
        <v>254</v>
      </c>
      <c r="F1" s="643" t="s">
        <v>255</v>
      </c>
      <c r="G1" s="644" t="s">
        <v>254</v>
      </c>
      <c r="H1" s="608"/>
      <c r="I1" s="608"/>
      <c r="J1" s="608"/>
      <c r="K1" s="608"/>
      <c r="L1" s="608"/>
      <c r="M1" s="608"/>
      <c r="N1" s="608"/>
      <c r="O1" s="608"/>
      <c r="P1" s="608"/>
      <c r="Q1" s="608"/>
      <c r="R1" s="608"/>
      <c r="S1" s="608"/>
      <c r="T1" s="608"/>
      <c r="U1" s="608"/>
      <c r="V1" s="608"/>
      <c r="W1" s="608"/>
      <c r="X1" s="608"/>
      <c r="Y1" s="608"/>
      <c r="Z1" s="608"/>
      <c r="AA1" s="608"/>
      <c r="AB1" s="608"/>
      <c r="AC1" s="608"/>
      <c r="AD1" s="608"/>
      <c r="AE1" s="608"/>
      <c r="AF1" s="608"/>
      <c r="AG1" s="608"/>
      <c r="AH1" s="608"/>
      <c r="AI1" s="608"/>
      <c r="AJ1" s="608"/>
      <c r="AK1" s="608"/>
    </row>
    <row r="2" spans="1:37" s="636" customFormat="1" ht="15" customHeight="1">
      <c r="A2" s="641"/>
      <c r="B2" s="640"/>
      <c r="C2" s="639" t="s">
        <v>253</v>
      </c>
      <c r="D2" s="637">
        <v>2013</v>
      </c>
      <c r="E2" s="638">
        <v>2014</v>
      </c>
      <c r="F2" s="637">
        <v>2014</v>
      </c>
      <c r="G2" s="638">
        <v>2015</v>
      </c>
    </row>
    <row r="3" spans="1:37" ht="15" customHeight="1">
      <c r="A3" s="949" t="s">
        <v>252</v>
      </c>
      <c r="B3" s="950"/>
      <c r="C3" s="950"/>
      <c r="D3" s="512"/>
      <c r="E3" s="635" t="s">
        <v>251</v>
      </c>
      <c r="F3" s="516"/>
      <c r="G3" s="757" t="s">
        <v>251</v>
      </c>
    </row>
    <row r="4" spans="1:37" s="480" customFormat="1" ht="12.75" customHeight="1">
      <c r="A4" s="670">
        <v>30</v>
      </c>
      <c r="B4" s="669"/>
      <c r="C4" s="632" t="s">
        <v>250</v>
      </c>
      <c r="D4" s="411">
        <v>421357.6</v>
      </c>
      <c r="E4" s="453">
        <v>449278.15399999998</v>
      </c>
      <c r="F4" s="411">
        <v>436336</v>
      </c>
      <c r="G4" s="453">
        <v>446249.4</v>
      </c>
    </row>
    <row r="5" spans="1:37" s="480" customFormat="1" ht="12.75" customHeight="1">
      <c r="A5" s="591">
        <v>31</v>
      </c>
      <c r="B5" s="587"/>
      <c r="C5" s="585" t="s">
        <v>249</v>
      </c>
      <c r="D5" s="317">
        <v>173441.1</v>
      </c>
      <c r="E5" s="361">
        <v>183822.77</v>
      </c>
      <c r="F5" s="317">
        <v>180192.6</v>
      </c>
      <c r="G5" s="361">
        <v>180266.3</v>
      </c>
    </row>
    <row r="6" spans="1:37" s="480" customFormat="1" ht="12.75" customHeight="1">
      <c r="A6" s="630" t="s">
        <v>248</v>
      </c>
      <c r="B6" s="586"/>
      <c r="C6" s="616" t="s">
        <v>247</v>
      </c>
      <c r="D6" s="322">
        <v>25741.1</v>
      </c>
      <c r="E6" s="321">
        <v>26909</v>
      </c>
      <c r="F6" s="322">
        <v>26794.1</v>
      </c>
      <c r="G6" s="361">
        <v>25063</v>
      </c>
    </row>
    <row r="7" spans="1:37" s="480" customFormat="1" ht="12.75" customHeight="1">
      <c r="A7" s="630" t="s">
        <v>246</v>
      </c>
      <c r="B7" s="586"/>
      <c r="C7" s="616" t="s">
        <v>245</v>
      </c>
      <c r="D7" s="322">
        <v>-4385.5</v>
      </c>
      <c r="E7" s="321">
        <v>0</v>
      </c>
      <c r="F7" s="322">
        <v>-1235.9000000000001</v>
      </c>
      <c r="G7" s="361">
        <v>0</v>
      </c>
    </row>
    <row r="8" spans="1:37" s="480" customFormat="1" ht="12.75" customHeight="1">
      <c r="A8" s="593">
        <v>330</v>
      </c>
      <c r="B8" s="587"/>
      <c r="C8" s="585" t="s">
        <v>244</v>
      </c>
      <c r="D8" s="317">
        <v>52899.96</v>
      </c>
      <c r="E8" s="316">
        <v>57711.1</v>
      </c>
      <c r="F8" s="317">
        <v>55742.1</v>
      </c>
      <c r="G8" s="361">
        <v>58083</v>
      </c>
    </row>
    <row r="9" spans="1:37" s="480" customFormat="1" ht="12.75" customHeight="1">
      <c r="A9" s="593">
        <v>332</v>
      </c>
      <c r="B9" s="587"/>
      <c r="C9" s="585" t="s">
        <v>243</v>
      </c>
      <c r="D9" s="317">
        <v>0</v>
      </c>
      <c r="E9" s="316">
        <v>0</v>
      </c>
      <c r="F9" s="317">
        <v>0</v>
      </c>
      <c r="G9" s="361">
        <v>0</v>
      </c>
    </row>
    <row r="10" spans="1:37" s="480" customFormat="1" ht="12.75" customHeight="1">
      <c r="A10" s="593">
        <v>339</v>
      </c>
      <c r="B10" s="587"/>
      <c r="C10" s="585" t="s">
        <v>242</v>
      </c>
      <c r="D10" s="317">
        <v>0</v>
      </c>
      <c r="E10" s="316">
        <v>0</v>
      </c>
      <c r="F10" s="317">
        <v>0</v>
      </c>
      <c r="G10" s="361">
        <v>0</v>
      </c>
    </row>
    <row r="11" spans="1:37" s="480" customFormat="1" ht="12.75" customHeight="1">
      <c r="A11" s="591">
        <v>350</v>
      </c>
      <c r="B11" s="587"/>
      <c r="C11" s="585" t="s">
        <v>241</v>
      </c>
      <c r="D11" s="317">
        <v>4412.3999999999996</v>
      </c>
      <c r="E11" s="316">
        <v>1702.9449999999999</v>
      </c>
      <c r="F11" s="317">
        <v>13799.4</v>
      </c>
      <c r="G11" s="361">
        <v>629.97</v>
      </c>
    </row>
    <row r="12" spans="1:37" s="579" customFormat="1">
      <c r="A12" s="597">
        <v>351</v>
      </c>
      <c r="B12" s="596"/>
      <c r="C12" s="589" t="s">
        <v>240</v>
      </c>
      <c r="D12" s="450">
        <v>0</v>
      </c>
      <c r="E12" s="400">
        <v>0</v>
      </c>
      <c r="F12" s="450">
        <v>0</v>
      </c>
      <c r="G12" s="361">
        <v>0</v>
      </c>
    </row>
    <row r="13" spans="1:37" s="480" customFormat="1" ht="12.75" customHeight="1">
      <c r="A13" s="591">
        <v>36</v>
      </c>
      <c r="B13" s="587"/>
      <c r="C13" s="585" t="s">
        <v>239</v>
      </c>
      <c r="D13" s="362">
        <v>1188370.8999999999</v>
      </c>
      <c r="E13" s="316">
        <v>1205302.564</v>
      </c>
      <c r="F13" s="362">
        <v>1198837.3999999999</v>
      </c>
      <c r="G13" s="361">
        <v>1181806.2</v>
      </c>
    </row>
    <row r="14" spans="1:37" s="480" customFormat="1" ht="12.75" customHeight="1">
      <c r="A14" s="629" t="s">
        <v>238</v>
      </c>
      <c r="B14" s="587"/>
      <c r="C14" s="627" t="s">
        <v>237</v>
      </c>
      <c r="D14" s="362">
        <v>428779.1</v>
      </c>
      <c r="E14" s="316">
        <v>434214.77</v>
      </c>
      <c r="F14" s="362">
        <v>428174.9</v>
      </c>
      <c r="G14" s="361">
        <v>431083.6</v>
      </c>
    </row>
    <row r="15" spans="1:37" s="480" customFormat="1" ht="12.75" customHeight="1">
      <c r="A15" s="629" t="s">
        <v>236</v>
      </c>
      <c r="B15" s="587"/>
      <c r="C15" s="627" t="s">
        <v>235</v>
      </c>
      <c r="D15" s="362">
        <v>63826.8</v>
      </c>
      <c r="E15" s="316">
        <v>62683.553</v>
      </c>
      <c r="F15" s="362">
        <v>59421.4</v>
      </c>
      <c r="G15" s="361">
        <v>61224.2</v>
      </c>
    </row>
    <row r="16" spans="1:37" s="626" customFormat="1" ht="26.25" customHeight="1">
      <c r="A16" s="629" t="s">
        <v>234</v>
      </c>
      <c r="B16" s="668"/>
      <c r="C16" s="627" t="s">
        <v>233</v>
      </c>
      <c r="D16" s="444">
        <v>16549.3</v>
      </c>
      <c r="E16" s="443">
        <v>14249</v>
      </c>
      <c r="F16" s="444">
        <v>14425.4</v>
      </c>
      <c r="G16" s="361">
        <v>8335.4</v>
      </c>
    </row>
    <row r="17" spans="1:7" s="622" customFormat="1">
      <c r="A17" s="591">
        <v>37</v>
      </c>
      <c r="B17" s="587"/>
      <c r="C17" s="585" t="s">
        <v>211</v>
      </c>
      <c r="D17" s="362">
        <v>82443.16</v>
      </c>
      <c r="E17" s="430">
        <v>81819</v>
      </c>
      <c r="F17" s="362">
        <v>79891.600000000006</v>
      </c>
      <c r="G17" s="361">
        <v>98540.3</v>
      </c>
    </row>
    <row r="18" spans="1:7" s="622" customFormat="1">
      <c r="A18" s="593" t="s">
        <v>232</v>
      </c>
      <c r="B18" s="587"/>
      <c r="C18" s="585" t="s">
        <v>231</v>
      </c>
      <c r="D18" s="362">
        <v>0</v>
      </c>
      <c r="E18" s="430">
        <v>0</v>
      </c>
      <c r="F18" s="362">
        <v>0</v>
      </c>
      <c r="G18" s="361">
        <v>0</v>
      </c>
    </row>
    <row r="19" spans="1:7" s="622" customFormat="1">
      <c r="A19" s="593" t="s">
        <v>230</v>
      </c>
      <c r="B19" s="587"/>
      <c r="C19" s="585" t="s">
        <v>229</v>
      </c>
      <c r="D19" s="362">
        <v>0</v>
      </c>
      <c r="E19" s="430">
        <v>0</v>
      </c>
      <c r="F19" s="362">
        <v>876.3</v>
      </c>
      <c r="G19" s="361">
        <v>0</v>
      </c>
    </row>
    <row r="20" spans="1:7" s="480" customFormat="1" ht="12.75" customHeight="1">
      <c r="A20" s="615">
        <v>39</v>
      </c>
      <c r="B20" s="614"/>
      <c r="C20" s="583" t="s">
        <v>228</v>
      </c>
      <c r="D20" s="355">
        <v>0</v>
      </c>
      <c r="E20" s="372">
        <v>0</v>
      </c>
      <c r="F20" s="355">
        <v>0</v>
      </c>
      <c r="G20" s="354">
        <v>0</v>
      </c>
    </row>
    <row r="21" spans="1:7" ht="12.75" customHeight="1">
      <c r="A21" s="578"/>
      <c r="B21" s="578"/>
      <c r="C21" s="576" t="s">
        <v>227</v>
      </c>
      <c r="D21" s="380">
        <f>D4+D5+SUM(D8:D13)+D17</f>
        <v>1922925.1199999999</v>
      </c>
      <c r="E21" s="380">
        <f>E4+E5+SUM(E8:E13)+E17</f>
        <v>1979636.5329999998</v>
      </c>
      <c r="F21" s="380">
        <f>F4+F5+SUM(F8:F13)+F17</f>
        <v>1964799.1</v>
      </c>
      <c r="G21" s="380">
        <f>G4+G5+SUM(G8:G13)+G17</f>
        <v>1965575.17</v>
      </c>
    </row>
    <row r="22" spans="1:7" s="480" customFormat="1" ht="12.75" customHeight="1">
      <c r="A22" s="593" t="s">
        <v>226</v>
      </c>
      <c r="B22" s="587"/>
      <c r="C22" s="585" t="s">
        <v>225</v>
      </c>
      <c r="D22" s="317">
        <v>737100.1</v>
      </c>
      <c r="E22" s="316">
        <v>773626</v>
      </c>
      <c r="F22" s="317">
        <v>770173.7</v>
      </c>
      <c r="G22" s="316">
        <v>783264</v>
      </c>
    </row>
    <row r="23" spans="1:7" s="480" customFormat="1" ht="12.75" customHeight="1">
      <c r="A23" s="593" t="s">
        <v>224</v>
      </c>
      <c r="B23" s="587"/>
      <c r="C23" s="585" t="s">
        <v>223</v>
      </c>
      <c r="D23" s="317">
        <v>138693.48000000001</v>
      </c>
      <c r="E23" s="316">
        <v>130500</v>
      </c>
      <c r="F23" s="317">
        <v>133886.1</v>
      </c>
      <c r="G23" s="316">
        <v>138700</v>
      </c>
    </row>
    <row r="24" spans="1:7" s="621" customFormat="1" ht="12.75" customHeight="1">
      <c r="A24" s="591">
        <v>41</v>
      </c>
      <c r="B24" s="587"/>
      <c r="C24" s="585" t="s">
        <v>222</v>
      </c>
      <c r="D24" s="317">
        <v>30715.17</v>
      </c>
      <c r="E24" s="316">
        <v>30515.9</v>
      </c>
      <c r="F24" s="317">
        <v>9537.5</v>
      </c>
      <c r="G24" s="316">
        <v>9060.7999999999993</v>
      </c>
    </row>
    <row r="25" spans="1:7" s="480" customFormat="1" ht="12.75" customHeight="1">
      <c r="A25" s="620">
        <v>42</v>
      </c>
      <c r="B25" s="619"/>
      <c r="C25" s="585" t="s">
        <v>221</v>
      </c>
      <c r="D25" s="317">
        <v>164330.26999999999</v>
      </c>
      <c r="E25" s="316">
        <v>153263.23000000001</v>
      </c>
      <c r="F25" s="317">
        <v>164776.9</v>
      </c>
      <c r="G25" s="316">
        <v>158416.20000000001</v>
      </c>
    </row>
    <row r="26" spans="1:7" s="618" customFormat="1" ht="12.75" customHeight="1">
      <c r="A26" s="597">
        <v>430</v>
      </c>
      <c r="B26" s="587"/>
      <c r="C26" s="585" t="s">
        <v>220</v>
      </c>
      <c r="D26" s="431">
        <v>7444.3</v>
      </c>
      <c r="E26" s="430">
        <v>3373.1</v>
      </c>
      <c r="F26" s="431">
        <v>3714.6</v>
      </c>
      <c r="G26" s="430">
        <v>2342.9</v>
      </c>
    </row>
    <row r="27" spans="1:7" s="618" customFormat="1" ht="12.75" customHeight="1">
      <c r="A27" s="597">
        <v>431</v>
      </c>
      <c r="B27" s="587"/>
      <c r="C27" s="585" t="s">
        <v>219</v>
      </c>
      <c r="D27" s="431">
        <v>0</v>
      </c>
      <c r="E27" s="430">
        <v>0</v>
      </c>
      <c r="F27" s="431">
        <v>0</v>
      </c>
      <c r="G27" s="430">
        <v>0</v>
      </c>
    </row>
    <row r="28" spans="1:7" s="618" customFormat="1" ht="12.75" customHeight="1">
      <c r="A28" s="597">
        <v>432</v>
      </c>
      <c r="B28" s="587"/>
      <c r="C28" s="585" t="s">
        <v>218</v>
      </c>
      <c r="D28" s="431">
        <v>0</v>
      </c>
      <c r="E28" s="430">
        <v>0</v>
      </c>
      <c r="F28" s="431">
        <v>0</v>
      </c>
      <c r="G28" s="430">
        <v>0</v>
      </c>
    </row>
    <row r="29" spans="1:7" s="618" customFormat="1" ht="12.75" customHeight="1">
      <c r="A29" s="597">
        <v>439</v>
      </c>
      <c r="B29" s="587"/>
      <c r="C29" s="585" t="s">
        <v>217</v>
      </c>
      <c r="D29" s="431">
        <v>0</v>
      </c>
      <c r="E29" s="430">
        <v>0</v>
      </c>
      <c r="F29" s="431">
        <v>0</v>
      </c>
      <c r="G29" s="430">
        <v>0</v>
      </c>
    </row>
    <row r="30" spans="1:7" s="480" customFormat="1" ht="25.5">
      <c r="A30" s="597">
        <v>450</v>
      </c>
      <c r="B30" s="596"/>
      <c r="C30" s="589" t="s">
        <v>216</v>
      </c>
      <c r="D30" s="362">
        <v>2115.4499999999998</v>
      </c>
      <c r="E30" s="361">
        <v>2106.87</v>
      </c>
      <c r="F30" s="362">
        <v>1813.3</v>
      </c>
      <c r="G30" s="361">
        <v>2336.6999999999998</v>
      </c>
    </row>
    <row r="31" spans="1:7" s="579" customFormat="1" ht="25.5">
      <c r="A31" s="597">
        <v>451</v>
      </c>
      <c r="B31" s="596"/>
      <c r="C31" s="589" t="s">
        <v>215</v>
      </c>
      <c r="D31" s="311">
        <v>0</v>
      </c>
      <c r="E31" s="316">
        <v>0</v>
      </c>
      <c r="F31" s="311">
        <v>0</v>
      </c>
      <c r="G31" s="316">
        <v>0</v>
      </c>
    </row>
    <row r="32" spans="1:7" s="480" customFormat="1" ht="12.75" customHeight="1">
      <c r="A32" s="591">
        <v>46</v>
      </c>
      <c r="B32" s="587"/>
      <c r="C32" s="585" t="s">
        <v>214</v>
      </c>
      <c r="D32" s="317">
        <v>659967.44999999995</v>
      </c>
      <c r="E32" s="316">
        <v>665089.80000000005</v>
      </c>
      <c r="F32" s="317">
        <v>675251.1</v>
      </c>
      <c r="G32" s="316">
        <v>683567.9</v>
      </c>
    </row>
    <row r="33" spans="1:7" s="579" customFormat="1" ht="12.75" customHeight="1">
      <c r="A33" s="617" t="s">
        <v>213</v>
      </c>
      <c r="B33" s="586"/>
      <c r="C33" s="616" t="s">
        <v>212</v>
      </c>
      <c r="D33" s="317">
        <v>0</v>
      </c>
      <c r="E33" s="321">
        <v>0</v>
      </c>
      <c r="F33" s="317">
        <v>0</v>
      </c>
      <c r="G33" s="321">
        <v>0</v>
      </c>
    </row>
    <row r="34" spans="1:7" s="480" customFormat="1" ht="15" customHeight="1">
      <c r="A34" s="591">
        <v>47</v>
      </c>
      <c r="B34" s="587"/>
      <c r="C34" s="585" t="s">
        <v>211</v>
      </c>
      <c r="D34" s="317">
        <v>82443.16</v>
      </c>
      <c r="E34" s="316">
        <v>81810</v>
      </c>
      <c r="F34" s="317">
        <v>79891.600000000006</v>
      </c>
      <c r="G34" s="316">
        <v>98540.3</v>
      </c>
    </row>
    <row r="35" spans="1:7" s="480" customFormat="1" ht="15" customHeight="1">
      <c r="A35" s="615">
        <v>49</v>
      </c>
      <c r="B35" s="614"/>
      <c r="C35" s="583" t="s">
        <v>210</v>
      </c>
      <c r="D35" s="355">
        <v>0</v>
      </c>
      <c r="E35" s="372">
        <v>0</v>
      </c>
      <c r="F35" s="355">
        <v>0</v>
      </c>
      <c r="G35" s="372">
        <v>0</v>
      </c>
    </row>
    <row r="36" spans="1:7" ht="13.5" customHeight="1">
      <c r="A36" s="578"/>
      <c r="B36" s="606"/>
      <c r="C36" s="576" t="s">
        <v>209</v>
      </c>
      <c r="D36" s="380">
        <f>D22+D23+D24+D25+D26+D27+D28+D29+D30+D31+D32+D34</f>
        <v>1822809.38</v>
      </c>
      <c r="E36" s="380">
        <f>E22+E23+E24+E25+E26+E27+E28+E29+E30+E31+E32+E34</f>
        <v>1840284.9000000004</v>
      </c>
      <c r="F36" s="380">
        <f>F22+F23+F24+F25+F26+F27+F28+F29+F30+F31+F32+F34</f>
        <v>1839044.8000000003</v>
      </c>
      <c r="G36" s="380">
        <f>G22+G23+G24+G25+G26+G27+G28+G29+G30+G31+G32+G34</f>
        <v>1876228.8</v>
      </c>
    </row>
    <row r="37" spans="1:7" s="667" customFormat="1" ht="15" customHeight="1">
      <c r="A37" s="578"/>
      <c r="B37" s="606"/>
      <c r="C37" s="576" t="s">
        <v>208</v>
      </c>
      <c r="D37" s="380">
        <f>D36-D21</f>
        <v>-100115.73999999999</v>
      </c>
      <c r="E37" s="380">
        <f>E36-E21</f>
        <v>-139351.63299999945</v>
      </c>
      <c r="F37" s="380">
        <f>F36-F21</f>
        <v>-125754.29999999981</v>
      </c>
      <c r="G37" s="380">
        <f>G36-G21</f>
        <v>-89346.369999999879</v>
      </c>
    </row>
    <row r="38" spans="1:7" s="579" customFormat="1" ht="15" customHeight="1">
      <c r="A38" s="593">
        <v>340</v>
      </c>
      <c r="B38" s="587"/>
      <c r="C38" s="585" t="s">
        <v>207</v>
      </c>
      <c r="D38" s="362">
        <v>7921.3</v>
      </c>
      <c r="E38" s="316">
        <v>14701</v>
      </c>
      <c r="F38" s="362">
        <v>10673.4</v>
      </c>
      <c r="G38" s="316">
        <v>26050</v>
      </c>
    </row>
    <row r="39" spans="1:7" s="579" customFormat="1" ht="15" customHeight="1">
      <c r="A39" s="593">
        <v>341</v>
      </c>
      <c r="B39" s="587"/>
      <c r="C39" s="585" t="s">
        <v>206</v>
      </c>
      <c r="D39" s="317">
        <v>35.799999999999997</v>
      </c>
      <c r="E39" s="316">
        <v>0</v>
      </c>
      <c r="F39" s="317">
        <v>41.4</v>
      </c>
      <c r="G39" s="316">
        <v>0</v>
      </c>
    </row>
    <row r="40" spans="1:7" s="579" customFormat="1" ht="15" customHeight="1">
      <c r="A40" s="593">
        <v>342</v>
      </c>
      <c r="B40" s="587"/>
      <c r="C40" s="585" t="s">
        <v>205</v>
      </c>
      <c r="D40" s="317">
        <v>950</v>
      </c>
      <c r="E40" s="316">
        <v>951</v>
      </c>
      <c r="F40" s="317">
        <v>2921.1</v>
      </c>
      <c r="G40" s="316">
        <v>960</v>
      </c>
    </row>
    <row r="41" spans="1:7" s="579" customFormat="1" ht="15" customHeight="1">
      <c r="A41" s="593">
        <v>343</v>
      </c>
      <c r="B41" s="587"/>
      <c r="C41" s="585" t="s">
        <v>204</v>
      </c>
      <c r="D41" s="317">
        <v>886.6</v>
      </c>
      <c r="E41" s="316">
        <v>1809.5</v>
      </c>
      <c r="F41" s="317">
        <v>1696.1</v>
      </c>
      <c r="G41" s="316">
        <v>1083.5</v>
      </c>
    </row>
    <row r="42" spans="1:7" s="579" customFormat="1" ht="15" customHeight="1">
      <c r="A42" s="593">
        <v>344</v>
      </c>
      <c r="B42" s="587"/>
      <c r="C42" s="585" t="s">
        <v>198</v>
      </c>
      <c r="D42" s="317">
        <v>10352.15</v>
      </c>
      <c r="E42" s="316">
        <v>0</v>
      </c>
      <c r="F42" s="317">
        <v>39581.800000000003</v>
      </c>
      <c r="G42" s="316">
        <v>0</v>
      </c>
    </row>
    <row r="43" spans="1:7" s="579" customFormat="1" ht="15" customHeight="1">
      <c r="A43" s="593">
        <v>349</v>
      </c>
      <c r="B43" s="587"/>
      <c r="C43" s="585" t="s">
        <v>203</v>
      </c>
      <c r="D43" s="317">
        <v>47091</v>
      </c>
      <c r="E43" s="316">
        <v>4100</v>
      </c>
      <c r="F43" s="317">
        <v>3830.8</v>
      </c>
      <c r="G43" s="316">
        <v>4900</v>
      </c>
    </row>
    <row r="44" spans="1:7" s="480" customFormat="1" ht="15" customHeight="1">
      <c r="A44" s="591">
        <v>440</v>
      </c>
      <c r="B44" s="587"/>
      <c r="C44" s="585" t="s">
        <v>202</v>
      </c>
      <c r="D44" s="362">
        <v>8460.4</v>
      </c>
      <c r="E44" s="316">
        <v>8296</v>
      </c>
      <c r="F44" s="362">
        <v>10437.299999999999</v>
      </c>
      <c r="G44" s="316">
        <v>8818</v>
      </c>
    </row>
    <row r="45" spans="1:7" s="480" customFormat="1" ht="15" customHeight="1">
      <c r="A45" s="591">
        <v>441</v>
      </c>
      <c r="B45" s="587"/>
      <c r="C45" s="585" t="s">
        <v>201</v>
      </c>
      <c r="D45" s="362">
        <v>51.4</v>
      </c>
      <c r="E45" s="316">
        <v>1000</v>
      </c>
      <c r="F45" s="362">
        <v>411.3</v>
      </c>
      <c r="G45" s="316">
        <v>0</v>
      </c>
    </row>
    <row r="46" spans="1:7" s="480" customFormat="1" ht="15" customHeight="1">
      <c r="A46" s="591">
        <v>442</v>
      </c>
      <c r="B46" s="587"/>
      <c r="C46" s="585" t="s">
        <v>200</v>
      </c>
      <c r="D46" s="362">
        <v>0</v>
      </c>
      <c r="E46" s="316">
        <v>0</v>
      </c>
      <c r="F46" s="362">
        <v>0</v>
      </c>
      <c r="G46" s="316">
        <v>0</v>
      </c>
    </row>
    <row r="47" spans="1:7" s="480" customFormat="1" ht="15" customHeight="1">
      <c r="A47" s="591">
        <v>443</v>
      </c>
      <c r="B47" s="587"/>
      <c r="C47" s="585" t="s">
        <v>199</v>
      </c>
      <c r="D47" s="362">
        <v>4135.8999999999996</v>
      </c>
      <c r="E47" s="316">
        <v>3773</v>
      </c>
      <c r="F47" s="362">
        <v>3795</v>
      </c>
      <c r="G47" s="316">
        <v>4101</v>
      </c>
    </row>
    <row r="48" spans="1:7" s="480" customFormat="1" ht="15" customHeight="1">
      <c r="A48" s="591">
        <v>444</v>
      </c>
      <c r="B48" s="587"/>
      <c r="C48" s="585" t="s">
        <v>198</v>
      </c>
      <c r="D48" s="362">
        <v>0</v>
      </c>
      <c r="E48" s="316">
        <v>0</v>
      </c>
      <c r="F48" s="362">
        <v>0</v>
      </c>
      <c r="G48" s="316">
        <v>0</v>
      </c>
    </row>
    <row r="49" spans="1:7" s="480" customFormat="1" ht="15" customHeight="1">
      <c r="A49" s="591">
        <v>445</v>
      </c>
      <c r="B49" s="587"/>
      <c r="C49" s="585" t="s">
        <v>197</v>
      </c>
      <c r="D49" s="362">
        <v>3586.2</v>
      </c>
      <c r="E49" s="316">
        <v>3313</v>
      </c>
      <c r="F49" s="362">
        <v>3321.9</v>
      </c>
      <c r="G49" s="316">
        <v>3313</v>
      </c>
    </row>
    <row r="50" spans="1:7" s="480" customFormat="1" ht="15" customHeight="1">
      <c r="A50" s="591">
        <v>446</v>
      </c>
      <c r="B50" s="587"/>
      <c r="C50" s="585" t="s">
        <v>196</v>
      </c>
      <c r="D50" s="362">
        <v>232.64</v>
      </c>
      <c r="E50" s="316">
        <v>218.24</v>
      </c>
      <c r="F50" s="362">
        <v>268</v>
      </c>
      <c r="G50" s="316">
        <v>218.2</v>
      </c>
    </row>
    <row r="51" spans="1:7" s="480" customFormat="1" ht="15" customHeight="1">
      <c r="A51" s="591">
        <v>447</v>
      </c>
      <c r="B51" s="587"/>
      <c r="C51" s="585" t="s">
        <v>195</v>
      </c>
      <c r="D51" s="362">
        <v>29539.8</v>
      </c>
      <c r="E51" s="316">
        <v>31922</v>
      </c>
      <c r="F51" s="362">
        <v>31408.7</v>
      </c>
      <c r="G51" s="316">
        <v>32229</v>
      </c>
    </row>
    <row r="52" spans="1:7" s="480" customFormat="1" ht="15" customHeight="1">
      <c r="A52" s="591">
        <v>448</v>
      </c>
      <c r="B52" s="587"/>
      <c r="C52" s="585" t="s">
        <v>194</v>
      </c>
      <c r="D52" s="362">
        <v>0</v>
      </c>
      <c r="E52" s="316">
        <v>0</v>
      </c>
      <c r="F52" s="362">
        <v>0</v>
      </c>
      <c r="G52" s="316">
        <v>0</v>
      </c>
    </row>
    <row r="53" spans="1:7" s="480" customFormat="1" ht="15" customHeight="1">
      <c r="A53" s="591">
        <v>449</v>
      </c>
      <c r="B53" s="587"/>
      <c r="C53" s="585" t="s">
        <v>193</v>
      </c>
      <c r="D53" s="362">
        <v>0</v>
      </c>
      <c r="E53" s="316">
        <v>0</v>
      </c>
      <c r="F53" s="362">
        <v>2.4</v>
      </c>
      <c r="G53" s="316">
        <v>0</v>
      </c>
    </row>
    <row r="54" spans="1:7" s="579" customFormat="1" ht="13.5" customHeight="1">
      <c r="A54" s="607" t="s">
        <v>192</v>
      </c>
      <c r="B54" s="580"/>
      <c r="C54" s="580" t="s">
        <v>191</v>
      </c>
      <c r="D54" s="418">
        <v>0</v>
      </c>
      <c r="E54" s="299">
        <v>0</v>
      </c>
      <c r="F54" s="418">
        <v>2.4</v>
      </c>
      <c r="G54" s="299">
        <v>0</v>
      </c>
    </row>
    <row r="55" spans="1:7" ht="15" customHeight="1">
      <c r="A55" s="606"/>
      <c r="B55" s="606"/>
      <c r="C55" s="576" t="s">
        <v>55</v>
      </c>
      <c r="D55" s="380">
        <f>SUM(D44:D53)-SUM(D38:D43)</f>
        <v>-21230.510000000009</v>
      </c>
      <c r="E55" s="380">
        <f>SUM(E44:E53)-SUM(E38:E43)</f>
        <v>26960.740000000005</v>
      </c>
      <c r="F55" s="380">
        <f>SUM(F44:F53)-SUM(F38:F43)</f>
        <v>-9100.0000000000073</v>
      </c>
      <c r="G55" s="380">
        <f>SUM(G44:G53)-SUM(G38:G43)</f>
        <v>15685.699999999997</v>
      </c>
    </row>
    <row r="56" spans="1:7" ht="14.25" customHeight="1">
      <c r="A56" s="606"/>
      <c r="B56" s="606"/>
      <c r="C56" s="576" t="s">
        <v>190</v>
      </c>
      <c r="D56" s="380">
        <f>D55+D37</f>
        <v>-121346.25</v>
      </c>
      <c r="E56" s="380">
        <f>E55+E37</f>
        <v>-112390.89299999944</v>
      </c>
      <c r="F56" s="380">
        <f>F55+F37</f>
        <v>-134854.29999999981</v>
      </c>
      <c r="G56" s="380">
        <f>G55+G37</f>
        <v>-73660.669999999882</v>
      </c>
    </row>
    <row r="57" spans="1:7" s="480" customFormat="1" ht="15.75" customHeight="1">
      <c r="A57" s="605">
        <v>380</v>
      </c>
      <c r="B57" s="604"/>
      <c r="C57" s="603" t="s">
        <v>189</v>
      </c>
      <c r="D57" s="602">
        <v>0</v>
      </c>
      <c r="E57" s="601">
        <v>0</v>
      </c>
      <c r="F57" s="602">
        <v>0</v>
      </c>
      <c r="G57" s="601">
        <v>0</v>
      </c>
    </row>
    <row r="58" spans="1:7" s="480" customFormat="1" ht="15.75" customHeight="1">
      <c r="A58" s="605">
        <v>381</v>
      </c>
      <c r="B58" s="604"/>
      <c r="C58" s="603" t="s">
        <v>188</v>
      </c>
      <c r="D58" s="602">
        <v>0</v>
      </c>
      <c r="E58" s="601">
        <v>0</v>
      </c>
      <c r="F58" s="602">
        <v>0</v>
      </c>
      <c r="G58" s="601">
        <v>0</v>
      </c>
    </row>
    <row r="59" spans="1:7" s="579" customFormat="1" ht="25.5">
      <c r="A59" s="597">
        <v>383</v>
      </c>
      <c r="B59" s="596"/>
      <c r="C59" s="589" t="s">
        <v>187</v>
      </c>
      <c r="D59" s="409">
        <v>0</v>
      </c>
      <c r="E59" s="342">
        <v>0</v>
      </c>
      <c r="F59" s="409">
        <v>0</v>
      </c>
      <c r="G59" s="342">
        <v>0</v>
      </c>
    </row>
    <row r="60" spans="1:7" s="579" customFormat="1">
      <c r="A60" s="597">
        <v>3840</v>
      </c>
      <c r="B60" s="596"/>
      <c r="C60" s="589" t="s">
        <v>186</v>
      </c>
      <c r="D60" s="401">
        <v>0</v>
      </c>
      <c r="E60" s="400">
        <v>0</v>
      </c>
      <c r="F60" s="401">
        <v>0</v>
      </c>
      <c r="G60" s="400">
        <v>0</v>
      </c>
    </row>
    <row r="61" spans="1:7" s="579" customFormat="1">
      <c r="A61" s="597">
        <v>3841</v>
      </c>
      <c r="B61" s="596"/>
      <c r="C61" s="589" t="s">
        <v>185</v>
      </c>
      <c r="D61" s="401">
        <v>0</v>
      </c>
      <c r="E61" s="400">
        <v>0</v>
      </c>
      <c r="F61" s="401">
        <v>0</v>
      </c>
      <c r="G61" s="400">
        <v>0</v>
      </c>
    </row>
    <row r="62" spans="1:7" s="579" customFormat="1">
      <c r="A62" s="600">
        <v>386</v>
      </c>
      <c r="B62" s="599"/>
      <c r="C62" s="598" t="s">
        <v>184</v>
      </c>
      <c r="D62" s="401">
        <v>0</v>
      </c>
      <c r="E62" s="400">
        <v>0</v>
      </c>
      <c r="F62" s="401">
        <v>0</v>
      </c>
      <c r="G62" s="400">
        <v>0</v>
      </c>
    </row>
    <row r="63" spans="1:7" s="579" customFormat="1" ht="25.5">
      <c r="A63" s="597">
        <v>387</v>
      </c>
      <c r="B63" s="596"/>
      <c r="C63" s="589" t="s">
        <v>183</v>
      </c>
      <c r="D63" s="401">
        <v>0</v>
      </c>
      <c r="E63" s="400">
        <v>0</v>
      </c>
      <c r="F63" s="401">
        <v>0</v>
      </c>
      <c r="G63" s="400">
        <v>0</v>
      </c>
    </row>
    <row r="64" spans="1:7" s="579" customFormat="1">
      <c r="A64" s="593">
        <v>389</v>
      </c>
      <c r="B64" s="592"/>
      <c r="C64" s="585" t="s">
        <v>182</v>
      </c>
      <c r="D64" s="317">
        <v>0</v>
      </c>
      <c r="E64" s="316">
        <v>0</v>
      </c>
      <c r="F64" s="317">
        <v>0</v>
      </c>
      <c r="G64" s="316">
        <v>0</v>
      </c>
    </row>
    <row r="65" spans="1:7" s="480" customFormat="1">
      <c r="A65" s="593" t="s">
        <v>181</v>
      </c>
      <c r="B65" s="587"/>
      <c r="C65" s="585" t="s">
        <v>180</v>
      </c>
      <c r="D65" s="317">
        <v>0</v>
      </c>
      <c r="E65" s="316">
        <v>0</v>
      </c>
      <c r="F65" s="317">
        <v>0</v>
      </c>
      <c r="G65" s="316">
        <v>0</v>
      </c>
    </row>
    <row r="66" spans="1:7" s="588" customFormat="1">
      <c r="A66" s="666" t="s">
        <v>179</v>
      </c>
      <c r="B66" s="590"/>
      <c r="C66" s="589" t="s">
        <v>178</v>
      </c>
      <c r="D66" s="343">
        <v>0</v>
      </c>
      <c r="E66" s="342">
        <v>0</v>
      </c>
      <c r="F66" s="343">
        <v>0</v>
      </c>
      <c r="G66" s="342">
        <v>0</v>
      </c>
    </row>
    <row r="67" spans="1:7" s="480" customFormat="1">
      <c r="A67" s="584">
        <v>481</v>
      </c>
      <c r="B67" s="587"/>
      <c r="C67" s="585" t="s">
        <v>177</v>
      </c>
      <c r="D67" s="317">
        <v>0</v>
      </c>
      <c r="E67" s="316">
        <v>0</v>
      </c>
      <c r="F67" s="317">
        <v>0</v>
      </c>
      <c r="G67" s="316">
        <v>0</v>
      </c>
    </row>
    <row r="68" spans="1:7" s="480" customFormat="1">
      <c r="A68" s="584">
        <v>482</v>
      </c>
      <c r="B68" s="587"/>
      <c r="C68" s="585" t="s">
        <v>176</v>
      </c>
      <c r="D68" s="317">
        <v>0</v>
      </c>
      <c r="E68" s="316">
        <v>0</v>
      </c>
      <c r="F68" s="317">
        <v>0</v>
      </c>
      <c r="G68" s="316">
        <v>0</v>
      </c>
    </row>
    <row r="69" spans="1:7" s="480" customFormat="1">
      <c r="A69" s="584">
        <v>483</v>
      </c>
      <c r="B69" s="587"/>
      <c r="C69" s="585" t="s">
        <v>175</v>
      </c>
      <c r="D69" s="317">
        <v>0</v>
      </c>
      <c r="E69" s="316">
        <v>0</v>
      </c>
      <c r="F69" s="317">
        <v>0</v>
      </c>
      <c r="G69" s="316">
        <v>0</v>
      </c>
    </row>
    <row r="70" spans="1:7" s="480" customFormat="1">
      <c r="A70" s="584">
        <v>484</v>
      </c>
      <c r="B70" s="587"/>
      <c r="C70" s="585" t="s">
        <v>174</v>
      </c>
      <c r="D70" s="317">
        <v>0</v>
      </c>
      <c r="E70" s="316">
        <v>0</v>
      </c>
      <c r="F70" s="317">
        <v>0</v>
      </c>
      <c r="G70" s="316">
        <v>0</v>
      </c>
    </row>
    <row r="71" spans="1:7" s="480" customFormat="1">
      <c r="A71" s="584">
        <v>485</v>
      </c>
      <c r="B71" s="587"/>
      <c r="C71" s="585" t="s">
        <v>173</v>
      </c>
      <c r="D71" s="317">
        <v>0</v>
      </c>
      <c r="E71" s="316">
        <v>0</v>
      </c>
      <c r="F71" s="317">
        <v>0</v>
      </c>
      <c r="G71" s="316">
        <v>0</v>
      </c>
    </row>
    <row r="72" spans="1:7" s="480" customFormat="1">
      <c r="A72" s="584">
        <v>486</v>
      </c>
      <c r="B72" s="587"/>
      <c r="C72" s="585" t="s">
        <v>172</v>
      </c>
      <c r="D72" s="317">
        <v>0</v>
      </c>
      <c r="E72" s="316">
        <v>0</v>
      </c>
      <c r="F72" s="317">
        <v>0</v>
      </c>
      <c r="G72" s="316">
        <v>0</v>
      </c>
    </row>
    <row r="73" spans="1:7" s="579" customFormat="1">
      <c r="A73" s="584">
        <v>487</v>
      </c>
      <c r="B73" s="586"/>
      <c r="C73" s="585" t="s">
        <v>171</v>
      </c>
      <c r="D73" s="362">
        <v>0</v>
      </c>
      <c r="E73" s="316">
        <v>0</v>
      </c>
      <c r="F73" s="362">
        <v>0</v>
      </c>
      <c r="G73" s="316">
        <v>0</v>
      </c>
    </row>
    <row r="74" spans="1:7" s="579" customFormat="1">
      <c r="A74" s="584">
        <v>489</v>
      </c>
      <c r="B74" s="581"/>
      <c r="C74" s="583" t="s">
        <v>170</v>
      </c>
      <c r="D74" s="362">
        <v>0</v>
      </c>
      <c r="E74" s="316">
        <v>0</v>
      </c>
      <c r="F74" s="362">
        <v>0</v>
      </c>
      <c r="G74" s="316">
        <v>0</v>
      </c>
    </row>
    <row r="75" spans="1:7" s="579" customFormat="1">
      <c r="A75" s="582" t="s">
        <v>169</v>
      </c>
      <c r="B75" s="581"/>
      <c r="C75" s="580" t="s">
        <v>168</v>
      </c>
      <c r="D75" s="317">
        <v>0</v>
      </c>
      <c r="E75" s="316">
        <v>0</v>
      </c>
      <c r="F75" s="317">
        <v>0</v>
      </c>
      <c r="G75" s="316">
        <v>0</v>
      </c>
    </row>
    <row r="76" spans="1:7">
      <c r="A76" s="578"/>
      <c r="B76" s="578"/>
      <c r="C76" s="576" t="s">
        <v>167</v>
      </c>
      <c r="D76" s="380">
        <f>SUM(D65:D74)-SUM(D57:D64)</f>
        <v>0</v>
      </c>
      <c r="E76" s="380">
        <f>SUM(E65:E74)-SUM(E57:E64)</f>
        <v>0</v>
      </c>
      <c r="F76" s="380">
        <f>SUM(F65:F74)-SUM(F57:F64)</f>
        <v>0</v>
      </c>
      <c r="G76" s="380">
        <f>SUM(G65:G74)-SUM(G57:G64)</f>
        <v>0</v>
      </c>
    </row>
    <row r="77" spans="1:7">
      <c r="A77" s="577"/>
      <c r="B77" s="577"/>
      <c r="C77" s="576" t="s">
        <v>166</v>
      </c>
      <c r="D77" s="380">
        <f>D56+D76</f>
        <v>-121346.25</v>
      </c>
      <c r="E77" s="380">
        <f>E56+E76</f>
        <v>-112390.89299999944</v>
      </c>
      <c r="F77" s="380">
        <f>F56+F76</f>
        <v>-134854.29999999981</v>
      </c>
      <c r="G77" s="380">
        <f>G56+G76</f>
        <v>-73660.669999999882</v>
      </c>
    </row>
    <row r="78" spans="1:7">
      <c r="A78" s="575">
        <v>3</v>
      </c>
      <c r="B78" s="575"/>
      <c r="C78" s="574" t="s">
        <v>165</v>
      </c>
      <c r="D78" s="377">
        <f>D20+D21+SUM(D38:D43)+SUM(D57:D64)</f>
        <v>1990161.97</v>
      </c>
      <c r="E78" s="377">
        <f>E20+E21+SUM(E38:E43)+SUM(E57:E64)</f>
        <v>2001198.0329999998</v>
      </c>
      <c r="F78" s="377">
        <f>F20+F21+SUM(F38:F43)+SUM(F57:F64)</f>
        <v>2023543.7000000002</v>
      </c>
      <c r="G78" s="377">
        <f>G20+G21+SUM(G38:G43)+SUM(G57:G64)</f>
        <v>1998568.67</v>
      </c>
    </row>
    <row r="79" spans="1:7">
      <c r="A79" s="575">
        <v>4</v>
      </c>
      <c r="B79" s="575"/>
      <c r="C79" s="574" t="s">
        <v>164</v>
      </c>
      <c r="D79" s="377">
        <f>D35+D36+SUM(D44:D53)+SUM(D65:D74)</f>
        <v>1868815.72</v>
      </c>
      <c r="E79" s="377">
        <f>E35+E36+SUM(E44:E53)+SUM(E65:E74)</f>
        <v>1888807.1400000004</v>
      </c>
      <c r="F79" s="377">
        <f>F35+F36+SUM(F44:F53)+SUM(F65:F74)</f>
        <v>1888689.4000000004</v>
      </c>
      <c r="G79" s="377">
        <f>G35+G36+SUM(G44:G53)+SUM(G65:G74)</f>
        <v>1924908</v>
      </c>
    </row>
    <row r="80" spans="1:7">
      <c r="A80" s="534"/>
      <c r="B80" s="534"/>
      <c r="C80" s="533"/>
      <c r="D80" s="260"/>
      <c r="E80" s="260"/>
      <c r="F80" s="260"/>
      <c r="G80" s="260"/>
    </row>
    <row r="81" spans="1:7">
      <c r="A81" s="951" t="s">
        <v>163</v>
      </c>
      <c r="B81" s="952"/>
      <c r="C81" s="952"/>
      <c r="D81" s="376"/>
      <c r="E81" s="375"/>
      <c r="F81" s="376"/>
      <c r="G81" s="375"/>
    </row>
    <row r="82" spans="1:7" s="480" customFormat="1">
      <c r="A82" s="567">
        <v>50</v>
      </c>
      <c r="B82" s="565"/>
      <c r="C82" s="565" t="s">
        <v>162</v>
      </c>
      <c r="D82" s="317">
        <v>149931.245</v>
      </c>
      <c r="E82" s="316">
        <v>155192.70000000001</v>
      </c>
      <c r="F82" s="317">
        <v>107263</v>
      </c>
      <c r="G82" s="316">
        <v>153447</v>
      </c>
    </row>
    <row r="83" spans="1:7" s="480" customFormat="1">
      <c r="A83" s="567">
        <v>51</v>
      </c>
      <c r="B83" s="565"/>
      <c r="C83" s="565" t="s">
        <v>161</v>
      </c>
      <c r="D83" s="317">
        <v>0</v>
      </c>
      <c r="E83" s="316">
        <v>0</v>
      </c>
      <c r="F83" s="317">
        <v>0</v>
      </c>
      <c r="G83" s="316">
        <v>0</v>
      </c>
    </row>
    <row r="84" spans="1:7" s="480" customFormat="1">
      <c r="A84" s="567">
        <v>52</v>
      </c>
      <c r="B84" s="565"/>
      <c r="C84" s="565" t="s">
        <v>160</v>
      </c>
      <c r="D84" s="317">
        <v>0</v>
      </c>
      <c r="E84" s="316">
        <v>0</v>
      </c>
      <c r="F84" s="317">
        <v>0</v>
      </c>
      <c r="G84" s="316">
        <v>0</v>
      </c>
    </row>
    <row r="85" spans="1:7" s="480" customFormat="1">
      <c r="A85" s="571">
        <v>54</v>
      </c>
      <c r="B85" s="570"/>
      <c r="C85" s="570" t="s">
        <v>117</v>
      </c>
      <c r="D85" s="317">
        <v>13209.995000000001</v>
      </c>
      <c r="E85" s="316">
        <v>11350</v>
      </c>
      <c r="F85" s="317">
        <v>15157.4</v>
      </c>
      <c r="G85" s="316">
        <v>7900</v>
      </c>
    </row>
    <row r="86" spans="1:7" s="480" customFormat="1">
      <c r="A86" s="571">
        <v>55</v>
      </c>
      <c r="B86" s="570"/>
      <c r="C86" s="570" t="s">
        <v>159</v>
      </c>
      <c r="D86" s="317">
        <v>268</v>
      </c>
      <c r="E86" s="316">
        <v>0</v>
      </c>
      <c r="F86" s="317">
        <v>0</v>
      </c>
      <c r="G86" s="316">
        <v>0</v>
      </c>
    </row>
    <row r="87" spans="1:7" s="480" customFormat="1">
      <c r="A87" s="571">
        <v>56</v>
      </c>
      <c r="B87" s="570"/>
      <c r="C87" s="570" t="s">
        <v>158</v>
      </c>
      <c r="D87" s="317">
        <v>5737.1</v>
      </c>
      <c r="E87" s="316">
        <v>10282</v>
      </c>
      <c r="F87" s="317">
        <v>3876.8</v>
      </c>
      <c r="G87" s="316">
        <v>4285</v>
      </c>
    </row>
    <row r="88" spans="1:7" s="480" customFormat="1">
      <c r="A88" s="567">
        <v>57</v>
      </c>
      <c r="B88" s="565"/>
      <c r="C88" s="565" t="s">
        <v>143</v>
      </c>
      <c r="D88" s="317">
        <v>4176.0519999999997</v>
      </c>
      <c r="E88" s="316">
        <v>5450</v>
      </c>
      <c r="F88" s="317">
        <v>2811.4</v>
      </c>
      <c r="G88" s="316">
        <v>5300</v>
      </c>
    </row>
    <row r="89" spans="1:7" s="480" customFormat="1">
      <c r="A89" s="567">
        <v>580</v>
      </c>
      <c r="B89" s="565"/>
      <c r="C89" s="565" t="s">
        <v>157</v>
      </c>
      <c r="D89" s="317">
        <v>0</v>
      </c>
      <c r="E89" s="316">
        <v>0</v>
      </c>
      <c r="F89" s="317">
        <v>0</v>
      </c>
      <c r="G89" s="316">
        <v>0</v>
      </c>
    </row>
    <row r="90" spans="1:7" s="480" customFormat="1">
      <c r="A90" s="567">
        <v>582</v>
      </c>
      <c r="B90" s="565"/>
      <c r="C90" s="565" t="s">
        <v>156</v>
      </c>
      <c r="D90" s="317">
        <v>0</v>
      </c>
      <c r="E90" s="316">
        <v>0</v>
      </c>
      <c r="F90" s="317">
        <v>0</v>
      </c>
      <c r="G90" s="316">
        <v>0</v>
      </c>
    </row>
    <row r="91" spans="1:7" s="480" customFormat="1">
      <c r="A91" s="567">
        <v>584</v>
      </c>
      <c r="B91" s="565"/>
      <c r="C91" s="565" t="s">
        <v>155</v>
      </c>
      <c r="D91" s="317">
        <v>0</v>
      </c>
      <c r="E91" s="316">
        <v>0</v>
      </c>
      <c r="F91" s="317">
        <v>0</v>
      </c>
      <c r="G91" s="316">
        <v>0</v>
      </c>
    </row>
    <row r="92" spans="1:7" s="480" customFormat="1">
      <c r="A92" s="567">
        <v>585</v>
      </c>
      <c r="B92" s="565"/>
      <c r="C92" s="565" t="s">
        <v>154</v>
      </c>
      <c r="D92" s="317">
        <v>0</v>
      </c>
      <c r="E92" s="316">
        <v>0</v>
      </c>
      <c r="F92" s="317">
        <v>0</v>
      </c>
      <c r="G92" s="316">
        <v>0</v>
      </c>
    </row>
    <row r="93" spans="1:7" s="480" customFormat="1">
      <c r="A93" s="567">
        <v>586</v>
      </c>
      <c r="B93" s="565"/>
      <c r="C93" s="565" t="s">
        <v>153</v>
      </c>
      <c r="D93" s="317">
        <v>0</v>
      </c>
      <c r="E93" s="316">
        <v>0</v>
      </c>
      <c r="F93" s="317">
        <v>0</v>
      </c>
      <c r="G93" s="316">
        <v>0</v>
      </c>
    </row>
    <row r="94" spans="1:7" s="480" customFormat="1">
      <c r="A94" s="568">
        <v>589</v>
      </c>
      <c r="B94" s="561"/>
      <c r="C94" s="561" t="s">
        <v>152</v>
      </c>
      <c r="D94" s="333">
        <v>0</v>
      </c>
      <c r="E94" s="372">
        <v>0</v>
      </c>
      <c r="F94" s="333">
        <v>0</v>
      </c>
      <c r="G94" s="372">
        <v>0</v>
      </c>
    </row>
    <row r="95" spans="1:7">
      <c r="A95" s="557">
        <v>5</v>
      </c>
      <c r="B95" s="555"/>
      <c r="C95" s="555" t="s">
        <v>151</v>
      </c>
      <c r="D95" s="348">
        <f>SUM(D82:D94)</f>
        <v>173322.39199999999</v>
      </c>
      <c r="E95" s="348">
        <f>SUM(E82:E94)</f>
        <v>182274.7</v>
      </c>
      <c r="F95" s="348">
        <f>SUM(F82:F94)</f>
        <v>129108.59999999999</v>
      </c>
      <c r="G95" s="348">
        <f>SUM(G82:G94)</f>
        <v>170932</v>
      </c>
    </row>
    <row r="96" spans="1:7" s="480" customFormat="1">
      <c r="A96" s="567">
        <v>60</v>
      </c>
      <c r="B96" s="565"/>
      <c r="C96" s="565" t="s">
        <v>150</v>
      </c>
      <c r="D96" s="317">
        <v>11908.48</v>
      </c>
      <c r="E96" s="316">
        <v>0</v>
      </c>
      <c r="F96" s="317">
        <v>46.4</v>
      </c>
      <c r="G96" s="316">
        <v>0</v>
      </c>
    </row>
    <row r="97" spans="1:7" s="480" customFormat="1">
      <c r="A97" s="567">
        <v>61</v>
      </c>
      <c r="B97" s="565"/>
      <c r="C97" s="565" t="s">
        <v>149</v>
      </c>
      <c r="D97" s="317">
        <v>0</v>
      </c>
      <c r="E97" s="316">
        <v>0</v>
      </c>
      <c r="F97" s="317">
        <v>0</v>
      </c>
      <c r="G97" s="316">
        <v>0</v>
      </c>
    </row>
    <row r="98" spans="1:7" s="480" customFormat="1">
      <c r="A98" s="567">
        <v>62</v>
      </c>
      <c r="B98" s="565"/>
      <c r="C98" s="565" t="s">
        <v>148</v>
      </c>
      <c r="D98" s="317">
        <v>0</v>
      </c>
      <c r="E98" s="316">
        <v>0</v>
      </c>
      <c r="F98" s="317">
        <v>0</v>
      </c>
      <c r="G98" s="316">
        <v>0</v>
      </c>
    </row>
    <row r="99" spans="1:7" s="480" customFormat="1">
      <c r="A99" s="567">
        <v>63</v>
      </c>
      <c r="B99" s="565"/>
      <c r="C99" s="565" t="s">
        <v>147</v>
      </c>
      <c r="D99" s="317">
        <v>43322.26</v>
      </c>
      <c r="E99" s="316">
        <v>38473</v>
      </c>
      <c r="F99" s="317">
        <v>30645.4</v>
      </c>
      <c r="G99" s="316">
        <v>31964.6</v>
      </c>
    </row>
    <row r="100" spans="1:7" s="480" customFormat="1">
      <c r="A100" s="567">
        <v>64</v>
      </c>
      <c r="B100" s="565"/>
      <c r="C100" s="565" t="s">
        <v>146</v>
      </c>
      <c r="D100" s="317">
        <v>3822.9</v>
      </c>
      <c r="E100" s="316">
        <v>8162</v>
      </c>
      <c r="F100" s="317">
        <v>8233.2000000000007</v>
      </c>
      <c r="G100" s="316">
        <v>2534.4</v>
      </c>
    </row>
    <row r="101" spans="1:7" s="480" customFormat="1">
      <c r="A101" s="567">
        <v>65</v>
      </c>
      <c r="B101" s="565"/>
      <c r="C101" s="565" t="s">
        <v>145</v>
      </c>
      <c r="D101" s="317">
        <v>1027</v>
      </c>
      <c r="E101" s="316">
        <v>0</v>
      </c>
      <c r="F101" s="317">
        <v>0</v>
      </c>
      <c r="G101" s="316">
        <v>0</v>
      </c>
    </row>
    <row r="102" spans="1:7" s="480" customFormat="1">
      <c r="A102" s="567">
        <v>66</v>
      </c>
      <c r="B102" s="565"/>
      <c r="C102" s="565" t="s">
        <v>144</v>
      </c>
      <c r="D102" s="317">
        <v>0</v>
      </c>
      <c r="E102" s="316">
        <v>0</v>
      </c>
      <c r="F102" s="317">
        <v>0</v>
      </c>
      <c r="G102" s="316">
        <v>0</v>
      </c>
    </row>
    <row r="103" spans="1:7" s="480" customFormat="1">
      <c r="A103" s="567">
        <v>67</v>
      </c>
      <c r="B103" s="565"/>
      <c r="C103" s="565" t="s">
        <v>143</v>
      </c>
      <c r="D103" s="362">
        <v>4176.0519999999997</v>
      </c>
      <c r="E103" s="361">
        <v>5450</v>
      </c>
      <c r="F103" s="362">
        <v>2811.4</v>
      </c>
      <c r="G103" s="361">
        <v>5300</v>
      </c>
    </row>
    <row r="104" spans="1:7" s="480" customFormat="1" ht="25.5">
      <c r="A104" s="566" t="s">
        <v>142</v>
      </c>
      <c r="B104" s="565"/>
      <c r="C104" s="564" t="s">
        <v>141</v>
      </c>
      <c r="D104" s="362">
        <v>0</v>
      </c>
      <c r="E104" s="361">
        <v>0</v>
      </c>
      <c r="F104" s="362">
        <v>0</v>
      </c>
      <c r="G104" s="361">
        <v>0</v>
      </c>
    </row>
    <row r="105" spans="1:7" s="480" customFormat="1" ht="38.25">
      <c r="A105" s="562" t="s">
        <v>140</v>
      </c>
      <c r="B105" s="561"/>
      <c r="C105" s="560" t="s">
        <v>139</v>
      </c>
      <c r="D105" s="355">
        <v>0</v>
      </c>
      <c r="E105" s="354">
        <v>0</v>
      </c>
      <c r="F105" s="355">
        <v>0</v>
      </c>
      <c r="G105" s="354">
        <v>0</v>
      </c>
    </row>
    <row r="106" spans="1:7">
      <c r="A106" s="557">
        <v>6</v>
      </c>
      <c r="B106" s="555"/>
      <c r="C106" s="555" t="s">
        <v>138</v>
      </c>
      <c r="D106" s="348">
        <f>SUM(D96:D105)</f>
        <v>64256.69200000001</v>
      </c>
      <c r="E106" s="348">
        <f>SUM(E96:E105)</f>
        <v>52085</v>
      </c>
      <c r="F106" s="348">
        <f>SUM(F96:F105)</f>
        <v>41736.400000000001</v>
      </c>
      <c r="G106" s="348">
        <f>SUM(G96:G105)</f>
        <v>39799</v>
      </c>
    </row>
    <row r="107" spans="1:7">
      <c r="A107" s="556" t="s">
        <v>137</v>
      </c>
      <c r="B107" s="556"/>
      <c r="C107" s="555" t="s">
        <v>3</v>
      </c>
      <c r="D107" s="348">
        <f>(D95-D88)-(D106-D103)</f>
        <v>109065.69999999998</v>
      </c>
      <c r="E107" s="348">
        <f>(E95-E88)-(E106-E103)</f>
        <v>130189.70000000001</v>
      </c>
      <c r="F107" s="348">
        <f>(F95-F88)-(F106-F103)</f>
        <v>87372.2</v>
      </c>
      <c r="G107" s="348">
        <f>(G95-G88)-(G106-G103)</f>
        <v>131133</v>
      </c>
    </row>
    <row r="108" spans="1:7">
      <c r="A108" s="554" t="s">
        <v>136</v>
      </c>
      <c r="B108" s="554"/>
      <c r="C108" s="553" t="s">
        <v>135</v>
      </c>
      <c r="D108" s="552">
        <f>D107-D85-D86+D100+D101</f>
        <v>100437.60499999998</v>
      </c>
      <c r="E108" s="552">
        <f>E107-E85-E86+E100+E101</f>
        <v>127001.70000000001</v>
      </c>
      <c r="F108" s="552">
        <f>F107-F85-F86+F100+F101</f>
        <v>80448</v>
      </c>
      <c r="G108" s="552">
        <f>G107-G85-G86+G100+G101</f>
        <v>125767.4</v>
      </c>
    </row>
    <row r="109" spans="1:7">
      <c r="A109" s="534"/>
      <c r="B109" s="534"/>
      <c r="C109" s="533"/>
      <c r="D109" s="260"/>
      <c r="E109" s="260"/>
      <c r="F109" s="260"/>
      <c r="G109" s="260"/>
    </row>
    <row r="110" spans="1:7" s="512" customFormat="1">
      <c r="A110" s="550" t="s">
        <v>134</v>
      </c>
      <c r="B110" s="551"/>
      <c r="C110" s="550"/>
      <c r="D110" s="260"/>
      <c r="E110" s="260"/>
      <c r="F110" s="260"/>
      <c r="G110" s="260"/>
    </row>
    <row r="111" spans="1:7" s="516" customFormat="1">
      <c r="A111" s="532">
        <v>10</v>
      </c>
      <c r="B111" s="531"/>
      <c r="C111" s="531" t="s">
        <v>133</v>
      </c>
      <c r="D111" s="327">
        <f>D112+D117</f>
        <v>1151149.9669999999</v>
      </c>
      <c r="E111" s="326">
        <f>E112+E117</f>
        <v>0</v>
      </c>
      <c r="F111" s="327">
        <f>F112+F117</f>
        <v>1105841.71</v>
      </c>
      <c r="G111" s="326">
        <f>G112+G117</f>
        <v>0</v>
      </c>
    </row>
    <row r="112" spans="1:7" s="516" customFormat="1">
      <c r="A112" s="539" t="s">
        <v>132</v>
      </c>
      <c r="B112" s="519"/>
      <c r="C112" s="519" t="s">
        <v>131</v>
      </c>
      <c r="D112" s="327">
        <f>D113+D114+D115+D116</f>
        <v>795515.31400000001</v>
      </c>
      <c r="E112" s="326">
        <f>E113+E114+E115+E116</f>
        <v>0</v>
      </c>
      <c r="F112" s="327">
        <f>F113+F114+F115+F116</f>
        <v>790317.21</v>
      </c>
      <c r="G112" s="326">
        <f>G113+G114+G115+G116</f>
        <v>0</v>
      </c>
    </row>
    <row r="113" spans="1:7" s="516" customFormat="1">
      <c r="A113" s="537" t="s">
        <v>130</v>
      </c>
      <c r="B113" s="526"/>
      <c r="C113" s="526" t="s">
        <v>129</v>
      </c>
      <c r="D113" s="317">
        <v>680224.42</v>
      </c>
      <c r="E113" s="316"/>
      <c r="F113" s="317">
        <v>675956.3</v>
      </c>
      <c r="G113" s="316"/>
    </row>
    <row r="114" spans="1:7" s="546" customFormat="1" ht="15" customHeight="1">
      <c r="A114" s="524">
        <v>102</v>
      </c>
      <c r="B114" s="665"/>
      <c r="C114" s="665" t="s">
        <v>128</v>
      </c>
      <c r="D114" s="343">
        <v>0</v>
      </c>
      <c r="E114" s="342"/>
      <c r="F114" s="343">
        <v>20000</v>
      </c>
      <c r="G114" s="342"/>
    </row>
    <row r="115" spans="1:7" s="516" customFormat="1">
      <c r="A115" s="537">
        <v>104</v>
      </c>
      <c r="B115" s="526"/>
      <c r="C115" s="526" t="s">
        <v>127</v>
      </c>
      <c r="D115" s="317">
        <v>111090.75</v>
      </c>
      <c r="E115" s="316"/>
      <c r="F115" s="317">
        <v>90479.96</v>
      </c>
      <c r="G115" s="316"/>
    </row>
    <row r="116" spans="1:7" s="516" customFormat="1">
      <c r="A116" s="537">
        <v>106</v>
      </c>
      <c r="B116" s="526"/>
      <c r="C116" s="526" t="s">
        <v>126</v>
      </c>
      <c r="D116" s="317">
        <v>4200.1440000000002</v>
      </c>
      <c r="E116" s="316"/>
      <c r="F116" s="317">
        <v>3880.95</v>
      </c>
      <c r="G116" s="316"/>
    </row>
    <row r="117" spans="1:7" s="516" customFormat="1">
      <c r="A117" s="539" t="s">
        <v>125</v>
      </c>
      <c r="B117" s="519"/>
      <c r="C117" s="519" t="s">
        <v>124</v>
      </c>
      <c r="D117" s="327">
        <f>D118+D119+D120</f>
        <v>355634.65299999999</v>
      </c>
      <c r="E117" s="326">
        <f>E118+E119+E120</f>
        <v>0</v>
      </c>
      <c r="F117" s="327">
        <f>F118+F119+F120</f>
        <v>315524.5</v>
      </c>
      <c r="G117" s="326">
        <f>G118+G119+G120</f>
        <v>0</v>
      </c>
    </row>
    <row r="118" spans="1:7" s="516" customFormat="1">
      <c r="A118" s="537">
        <v>107</v>
      </c>
      <c r="B118" s="526"/>
      <c r="C118" s="526" t="s">
        <v>123</v>
      </c>
      <c r="D118" s="317">
        <v>189737.3</v>
      </c>
      <c r="E118" s="316"/>
      <c r="F118" s="317">
        <v>149611</v>
      </c>
      <c r="G118" s="316"/>
    </row>
    <row r="119" spans="1:7" s="516" customFormat="1">
      <c r="A119" s="537">
        <v>108</v>
      </c>
      <c r="B119" s="526"/>
      <c r="C119" s="526" t="s">
        <v>122</v>
      </c>
      <c r="D119" s="317">
        <v>165897.353</v>
      </c>
      <c r="E119" s="316"/>
      <c r="F119" s="317">
        <v>165913.5</v>
      </c>
      <c r="G119" s="316"/>
    </row>
    <row r="120" spans="1:7" s="538" customFormat="1" ht="25.5">
      <c r="A120" s="524">
        <v>109</v>
      </c>
      <c r="B120" s="523"/>
      <c r="C120" s="523" t="s">
        <v>121</v>
      </c>
      <c r="D120" s="311">
        <v>0</v>
      </c>
      <c r="E120" s="310"/>
      <c r="F120" s="311">
        <v>0</v>
      </c>
      <c r="G120" s="310"/>
    </row>
    <row r="121" spans="1:7" s="516" customFormat="1">
      <c r="A121" s="539">
        <v>14</v>
      </c>
      <c r="B121" s="519"/>
      <c r="C121" s="519" t="s">
        <v>120</v>
      </c>
      <c r="D121" s="327">
        <f>SUM(D122:D130)</f>
        <v>1521422.58</v>
      </c>
      <c r="E121" s="327">
        <f>SUM(E122:E130)</f>
        <v>0</v>
      </c>
      <c r="F121" s="327">
        <f>SUM(F122:F130)</f>
        <v>1542198.6</v>
      </c>
      <c r="G121" s="327">
        <f>SUM(G122:G130)</f>
        <v>0</v>
      </c>
    </row>
    <row r="122" spans="1:7" s="516" customFormat="1">
      <c r="A122" s="537" t="s">
        <v>119</v>
      </c>
      <c r="B122" s="526"/>
      <c r="C122" s="526" t="s">
        <v>118</v>
      </c>
      <c r="D122" s="317">
        <v>1382057.7</v>
      </c>
      <c r="E122" s="316"/>
      <c r="F122" s="317">
        <v>1404629.4</v>
      </c>
      <c r="G122" s="316"/>
    </row>
    <row r="123" spans="1:7" s="516" customFormat="1">
      <c r="A123" s="537">
        <v>144</v>
      </c>
      <c r="B123" s="526"/>
      <c r="C123" s="526" t="s">
        <v>117</v>
      </c>
      <c r="D123" s="317">
        <v>116261.3</v>
      </c>
      <c r="E123" s="316"/>
      <c r="F123" s="317">
        <v>114894.1</v>
      </c>
      <c r="G123" s="316"/>
    </row>
    <row r="124" spans="1:7" s="516" customFormat="1">
      <c r="A124" s="537">
        <v>145</v>
      </c>
      <c r="B124" s="526"/>
      <c r="C124" s="526" t="s">
        <v>116</v>
      </c>
      <c r="D124" s="317">
        <v>23103.58</v>
      </c>
      <c r="E124" s="304"/>
      <c r="F124" s="317">
        <v>22675.1</v>
      </c>
      <c r="G124" s="304"/>
    </row>
    <row r="125" spans="1:7" s="516" customFormat="1">
      <c r="A125" s="537">
        <v>146</v>
      </c>
      <c r="B125" s="526"/>
      <c r="C125" s="526" t="s">
        <v>115</v>
      </c>
      <c r="D125" s="317">
        <v>0</v>
      </c>
      <c r="E125" s="304"/>
      <c r="F125" s="317">
        <v>0</v>
      </c>
      <c r="G125" s="304"/>
    </row>
    <row r="126" spans="1:7" s="538" customFormat="1" ht="29.45" customHeight="1">
      <c r="A126" s="524" t="s">
        <v>114</v>
      </c>
      <c r="B126" s="523"/>
      <c r="C126" s="523" t="s">
        <v>113</v>
      </c>
      <c r="D126" s="311">
        <v>0</v>
      </c>
      <c r="E126" s="339"/>
      <c r="F126" s="311">
        <v>0</v>
      </c>
      <c r="G126" s="339"/>
    </row>
    <row r="127" spans="1:7" s="516" customFormat="1">
      <c r="A127" s="537">
        <v>1484</v>
      </c>
      <c r="B127" s="526"/>
      <c r="C127" s="526" t="s">
        <v>112</v>
      </c>
      <c r="D127" s="317">
        <v>0</v>
      </c>
      <c r="E127" s="304"/>
      <c r="F127" s="317">
        <v>0</v>
      </c>
      <c r="G127" s="304"/>
    </row>
    <row r="128" spans="1:7" s="516" customFormat="1">
      <c r="A128" s="537">
        <v>1485</v>
      </c>
      <c r="B128" s="526"/>
      <c r="C128" s="526" t="s">
        <v>111</v>
      </c>
      <c r="D128" s="317">
        <v>0</v>
      </c>
      <c r="E128" s="304"/>
      <c r="F128" s="317">
        <v>0</v>
      </c>
      <c r="G128" s="304"/>
    </row>
    <row r="129" spans="1:7" s="516" customFormat="1">
      <c r="A129" s="537">
        <v>1486</v>
      </c>
      <c r="B129" s="526"/>
      <c r="C129" s="526" t="s">
        <v>110</v>
      </c>
      <c r="D129" s="317">
        <v>0</v>
      </c>
      <c r="E129" s="304"/>
      <c r="F129" s="317">
        <v>0</v>
      </c>
      <c r="G129" s="304"/>
    </row>
    <row r="130" spans="1:7" s="516" customFormat="1">
      <c r="A130" s="536">
        <v>1489</v>
      </c>
      <c r="B130" s="535"/>
      <c r="C130" s="535" t="s">
        <v>109</v>
      </c>
      <c r="D130" s="333">
        <v>0</v>
      </c>
      <c r="E130" s="332"/>
      <c r="F130" s="333">
        <v>0</v>
      </c>
      <c r="G130" s="332"/>
    </row>
    <row r="131" spans="1:7" s="512" customFormat="1">
      <c r="A131" s="515">
        <v>1</v>
      </c>
      <c r="B131" s="514"/>
      <c r="C131" s="515" t="s">
        <v>108</v>
      </c>
      <c r="D131" s="295">
        <f>D111+D121</f>
        <v>2672572.5470000003</v>
      </c>
      <c r="E131" s="295">
        <f>E111+E121</f>
        <v>0</v>
      </c>
      <c r="F131" s="295">
        <f>F111+F121</f>
        <v>2648040.31</v>
      </c>
      <c r="G131" s="295">
        <f>G111+G121</f>
        <v>0</v>
      </c>
    </row>
    <row r="132" spans="1:7" s="512" customFormat="1">
      <c r="A132" s="534"/>
      <c r="B132" s="534"/>
      <c r="C132" s="533"/>
      <c r="D132" s="260"/>
      <c r="E132" s="260"/>
      <c r="F132" s="260"/>
      <c r="G132" s="260"/>
    </row>
    <row r="133" spans="1:7" s="516" customFormat="1">
      <c r="A133" s="532">
        <v>20</v>
      </c>
      <c r="B133" s="531"/>
      <c r="C133" s="531" t="s">
        <v>107</v>
      </c>
      <c r="D133" s="329">
        <f>D134+D140</f>
        <v>1849951.0020000001</v>
      </c>
      <c r="E133" s="530">
        <f>E134+E140</f>
        <v>0</v>
      </c>
      <c r="F133" s="329">
        <f>F134+F140</f>
        <v>1960273</v>
      </c>
      <c r="G133" s="530">
        <f>G134+G140</f>
        <v>0</v>
      </c>
    </row>
    <row r="134" spans="1:7" s="516" customFormat="1">
      <c r="A134" s="520" t="s">
        <v>106</v>
      </c>
      <c r="B134" s="519"/>
      <c r="C134" s="519" t="s">
        <v>105</v>
      </c>
      <c r="D134" s="327">
        <f>D135+D136+D138+D139</f>
        <v>509634.8</v>
      </c>
      <c r="E134" s="326">
        <f>E135+E136+E138+E139</f>
        <v>0</v>
      </c>
      <c r="F134" s="327">
        <f>F135+F136+F138+F139</f>
        <v>521317.6</v>
      </c>
      <c r="G134" s="326">
        <f>G135+G136+G138+G139</f>
        <v>0</v>
      </c>
    </row>
    <row r="135" spans="1:7" s="525" customFormat="1">
      <c r="A135" s="527">
        <v>200</v>
      </c>
      <c r="B135" s="526"/>
      <c r="C135" s="526" t="s">
        <v>104</v>
      </c>
      <c r="D135" s="317">
        <v>254941.4</v>
      </c>
      <c r="E135" s="316"/>
      <c r="F135" s="317">
        <v>244726.2</v>
      </c>
      <c r="G135" s="316"/>
    </row>
    <row r="136" spans="1:7" s="525" customFormat="1">
      <c r="A136" s="527">
        <v>201</v>
      </c>
      <c r="B136" s="526"/>
      <c r="C136" s="526" t="s">
        <v>103</v>
      </c>
      <c r="D136" s="317">
        <v>52.6</v>
      </c>
      <c r="E136" s="316"/>
      <c r="F136" s="317">
        <v>54.6</v>
      </c>
      <c r="G136" s="316"/>
    </row>
    <row r="137" spans="1:7" s="525" customFormat="1">
      <c r="A137" s="529" t="s">
        <v>102</v>
      </c>
      <c r="B137" s="528"/>
      <c r="C137" s="528" t="s">
        <v>101</v>
      </c>
      <c r="D137" s="322">
        <v>0</v>
      </c>
      <c r="E137" s="328"/>
      <c r="F137" s="322">
        <v>0</v>
      </c>
      <c r="G137" s="328"/>
    </row>
    <row r="138" spans="1:7" s="525" customFormat="1">
      <c r="A138" s="527">
        <v>204</v>
      </c>
      <c r="B138" s="526"/>
      <c r="C138" s="526" t="s">
        <v>100</v>
      </c>
      <c r="D138" s="317">
        <v>254640.8</v>
      </c>
      <c r="E138" s="304"/>
      <c r="F138" s="317">
        <v>276536.8</v>
      </c>
      <c r="G138" s="304"/>
    </row>
    <row r="139" spans="1:7" s="525" customFormat="1">
      <c r="A139" s="527">
        <v>205</v>
      </c>
      <c r="B139" s="526"/>
      <c r="C139" s="526" t="s">
        <v>99</v>
      </c>
      <c r="D139" s="317">
        <v>0</v>
      </c>
      <c r="E139" s="304"/>
      <c r="F139" s="317">
        <v>0</v>
      </c>
      <c r="G139" s="304"/>
    </row>
    <row r="140" spans="1:7" s="525" customFormat="1">
      <c r="A140" s="520" t="s">
        <v>98</v>
      </c>
      <c r="B140" s="519"/>
      <c r="C140" s="519" t="s">
        <v>97</v>
      </c>
      <c r="D140" s="327">
        <f>D141+D143+D144</f>
        <v>1340316.202</v>
      </c>
      <c r="E140" s="326">
        <f>E141+E143+E144</f>
        <v>0</v>
      </c>
      <c r="F140" s="327">
        <f>F141+F143+F144</f>
        <v>1438955.4</v>
      </c>
      <c r="G140" s="326">
        <f>G141+G143+G144</f>
        <v>0</v>
      </c>
    </row>
    <row r="141" spans="1:7" s="525" customFormat="1">
      <c r="A141" s="527">
        <v>206</v>
      </c>
      <c r="B141" s="526"/>
      <c r="C141" s="526" t="s">
        <v>96</v>
      </c>
      <c r="D141" s="317">
        <v>752586.14</v>
      </c>
      <c r="E141" s="304"/>
      <c r="F141" s="317">
        <v>856820.2</v>
      </c>
      <c r="G141" s="304"/>
    </row>
    <row r="142" spans="1:7" s="525" customFormat="1">
      <c r="A142" s="529" t="s">
        <v>95</v>
      </c>
      <c r="B142" s="528"/>
      <c r="C142" s="528" t="s">
        <v>94</v>
      </c>
      <c r="D142" s="322">
        <v>0</v>
      </c>
      <c r="E142" s="328"/>
      <c r="F142" s="322">
        <v>0</v>
      </c>
      <c r="G142" s="328"/>
    </row>
    <row r="143" spans="1:7" s="525" customFormat="1">
      <c r="A143" s="527">
        <v>208</v>
      </c>
      <c r="B143" s="526"/>
      <c r="C143" s="526" t="s">
        <v>93</v>
      </c>
      <c r="D143" s="317">
        <v>498542.07</v>
      </c>
      <c r="E143" s="304"/>
      <c r="F143" s="317">
        <v>497727.1</v>
      </c>
      <c r="G143" s="304"/>
    </row>
    <row r="144" spans="1:7" s="521" customFormat="1" ht="25.5">
      <c r="A144" s="524">
        <v>209</v>
      </c>
      <c r="B144" s="523"/>
      <c r="C144" s="523" t="s">
        <v>92</v>
      </c>
      <c r="D144" s="311">
        <v>89187.991999999998</v>
      </c>
      <c r="E144" s="339"/>
      <c r="F144" s="311">
        <v>84408.1</v>
      </c>
      <c r="G144" s="339"/>
    </row>
    <row r="145" spans="1:7" s="516" customFormat="1">
      <c r="A145" s="520">
        <v>29</v>
      </c>
      <c r="B145" s="519"/>
      <c r="C145" s="519" t="s">
        <v>61</v>
      </c>
      <c r="D145" s="305">
        <v>822621.57</v>
      </c>
      <c r="E145" s="304"/>
      <c r="F145" s="305">
        <v>687767.3</v>
      </c>
      <c r="G145" s="304"/>
    </row>
    <row r="146" spans="1:7" s="516" customFormat="1">
      <c r="A146" s="518" t="s">
        <v>91</v>
      </c>
      <c r="B146" s="517"/>
      <c r="C146" s="517" t="s">
        <v>90</v>
      </c>
      <c r="D146" s="300">
        <v>263325.35100000002</v>
      </c>
      <c r="E146" s="299"/>
      <c r="F146" s="300">
        <v>0</v>
      </c>
      <c r="G146" s="299"/>
    </row>
    <row r="147" spans="1:7" s="512" customFormat="1">
      <c r="A147" s="515">
        <v>2</v>
      </c>
      <c r="B147" s="514"/>
      <c r="C147" s="515" t="s">
        <v>89</v>
      </c>
      <c r="D147" s="295">
        <f>D133+D145</f>
        <v>2672572.5720000002</v>
      </c>
      <c r="E147" s="295">
        <f>E133+E145</f>
        <v>0</v>
      </c>
      <c r="F147" s="295">
        <f>F133+F145</f>
        <v>2648040.2999999998</v>
      </c>
      <c r="G147" s="295">
        <f>G133+G145</f>
        <v>0</v>
      </c>
    </row>
    <row r="148" spans="1:7" ht="7.5" customHeight="1">
      <c r="D148" s="512"/>
      <c r="F148" s="512"/>
    </row>
    <row r="149" spans="1:7" ht="13.5" customHeight="1">
      <c r="A149" s="511" t="s">
        <v>88</v>
      </c>
      <c r="B149" s="509"/>
      <c r="C149" s="664" t="s">
        <v>87</v>
      </c>
      <c r="D149" s="509"/>
      <c r="E149" s="509"/>
      <c r="F149" s="509"/>
      <c r="G149" s="509"/>
    </row>
    <row r="150" spans="1:7">
      <c r="A150" s="498" t="s">
        <v>86</v>
      </c>
      <c r="B150" s="829"/>
      <c r="C150" s="829" t="s">
        <v>85</v>
      </c>
      <c r="D150" s="268">
        <f>D77+SUM(D8:D12)-D30-D31+D16-D33+D59+D63-D73+D64-D74-D54+D20-D35</f>
        <v>-49600.039999999994</v>
      </c>
      <c r="E150" s="268">
        <f>E77+SUM(E8:E12)-E30-E31+E16-E33+E59+E63-E73+E64-E74-E54+E20-E35</f>
        <v>-40834.717999999448</v>
      </c>
      <c r="F150" s="268">
        <f>F77+SUM(F8:F12)-F30-F31+F16-F33+F59+F63-F73+F64-F74-F54+F20-F35</f>
        <v>-52703.099999999817</v>
      </c>
      <c r="G150" s="268">
        <f>G77+SUM(G8:G12)-G30-G31+G16-G33+G59+G63-G73+G64-G74-G54+G20-G35</f>
        <v>-8948.9999999998818</v>
      </c>
    </row>
    <row r="151" spans="1:7">
      <c r="A151" s="489" t="s">
        <v>84</v>
      </c>
      <c r="B151" s="827"/>
      <c r="C151" s="827" t="s">
        <v>83</v>
      </c>
      <c r="D151" s="269">
        <f>IF(D177=0,0,D150/D177)</f>
        <v>-2.7765786997982097E-2</v>
      </c>
      <c r="E151" s="269">
        <f>IF(E177=0,0,E150/E177)</f>
        <v>-2.2598108816043527E-2</v>
      </c>
      <c r="F151" s="269">
        <f>IF(F177=0,0,F150/F177)</f>
        <v>-2.9137087628036594E-2</v>
      </c>
      <c r="G151" s="269">
        <f>IF(G177=0,0,G150/G177)</f>
        <v>-4.8998895457907417E-3</v>
      </c>
    </row>
    <row r="152" spans="1:7" s="504" customFormat="1" ht="25.5">
      <c r="A152" s="508" t="s">
        <v>81</v>
      </c>
      <c r="B152" s="661"/>
      <c r="C152" s="661" t="s">
        <v>82</v>
      </c>
      <c r="D152" s="505">
        <f>IF(D107=0,0,D150/D107)</f>
        <v>-0.45477212359155994</v>
      </c>
      <c r="E152" s="505">
        <f>IF(E107=0,0,E150/E107)</f>
        <v>-0.31365551959947252</v>
      </c>
      <c r="F152" s="505">
        <f>IF(F107=0,0,F150/F107)</f>
        <v>-0.60320216270163529</v>
      </c>
      <c r="G152" s="505">
        <f>IF(G107=0,0,G150/G107)</f>
        <v>-6.8243691519296296E-2</v>
      </c>
    </row>
    <row r="153" spans="1:7" s="504" customFormat="1" ht="25.5">
      <c r="A153" s="497" t="s">
        <v>81</v>
      </c>
      <c r="B153" s="663"/>
      <c r="C153" s="663" t="s">
        <v>80</v>
      </c>
      <c r="D153" s="274">
        <f>IF(0=D108,0,D150/D108)</f>
        <v>-0.49383933438078298</v>
      </c>
      <c r="E153" s="274">
        <f>IF(0=E108,0,E150/E108)</f>
        <v>-0.32152890866814732</v>
      </c>
      <c r="F153" s="274">
        <f>IF(0=F108,0,F150/F108)</f>
        <v>-0.65512007756563018</v>
      </c>
      <c r="G153" s="274">
        <f>IF(0=G108,0,G150/G108)</f>
        <v>-7.115516421584514E-2</v>
      </c>
    </row>
    <row r="154" spans="1:7" ht="25.5">
      <c r="A154" s="503" t="s">
        <v>79</v>
      </c>
      <c r="B154" s="662"/>
      <c r="C154" s="662" t="s">
        <v>78</v>
      </c>
      <c r="D154" s="279">
        <f>D150-D107</f>
        <v>-158665.74</v>
      </c>
      <c r="E154" s="279">
        <f>E150-E107</f>
        <v>-171024.41799999945</v>
      </c>
      <c r="F154" s="279">
        <f>F150-F107</f>
        <v>-140075.29999999981</v>
      </c>
      <c r="G154" s="279">
        <f>G150-G107</f>
        <v>-140081.99999999988</v>
      </c>
    </row>
    <row r="155" spans="1:7" ht="25.5">
      <c r="A155" s="497" t="s">
        <v>77</v>
      </c>
      <c r="B155" s="663"/>
      <c r="C155" s="663" t="s">
        <v>76</v>
      </c>
      <c r="D155" s="282">
        <f>D150-D108</f>
        <v>-150037.64499999996</v>
      </c>
      <c r="E155" s="282">
        <f>E150-E108</f>
        <v>-167836.41799999945</v>
      </c>
      <c r="F155" s="282">
        <f>F150-F108</f>
        <v>-133151.0999999998</v>
      </c>
      <c r="G155" s="282">
        <f>G150-G108</f>
        <v>-134716.39999999988</v>
      </c>
    </row>
    <row r="156" spans="1:7">
      <c r="A156" s="498" t="s">
        <v>75</v>
      </c>
      <c r="B156" s="829"/>
      <c r="C156" s="829" t="s">
        <v>74</v>
      </c>
      <c r="D156" s="277">
        <f>D135+D136-D137+D141-D142</f>
        <v>1007580.14</v>
      </c>
      <c r="E156" s="277">
        <f>E135+E136-E137+E141-E142</f>
        <v>0</v>
      </c>
      <c r="F156" s="277">
        <f>F135+F136-F137+F141-F142</f>
        <v>1101601</v>
      </c>
      <c r="G156" s="277">
        <f>G135+G136-G137+G141-G142</f>
        <v>0</v>
      </c>
    </row>
    <row r="157" spans="1:7">
      <c r="A157" s="492" t="s">
        <v>73</v>
      </c>
      <c r="B157" s="828"/>
      <c r="C157" s="828" t="s">
        <v>72</v>
      </c>
      <c r="D157" s="273">
        <f>IF(D177=0,0,D156/D177)</f>
        <v>0.56403695542658805</v>
      </c>
      <c r="E157" s="273">
        <f>IF(E177=0,0,E156/E177)</f>
        <v>0</v>
      </c>
      <c r="F157" s="273">
        <f>IF(F177=0,0,F156/F177)</f>
        <v>0.60902384998477987</v>
      </c>
      <c r="G157" s="273">
        <f>IF(G177=0,0,G156/G177)</f>
        <v>0</v>
      </c>
    </row>
    <row r="158" spans="1:7">
      <c r="A158" s="498" t="s">
        <v>71</v>
      </c>
      <c r="B158" s="829"/>
      <c r="C158" s="829" t="s">
        <v>70</v>
      </c>
      <c r="D158" s="277">
        <f>D133-D142-D111</f>
        <v>698801.03500000015</v>
      </c>
      <c r="E158" s="277">
        <f>E133-E142-E111</f>
        <v>0</v>
      </c>
      <c r="F158" s="277">
        <f>F133-F142-F111</f>
        <v>854431.29</v>
      </c>
      <c r="G158" s="277">
        <f>G133-G142-G111</f>
        <v>0</v>
      </c>
    </row>
    <row r="159" spans="1:7">
      <c r="A159" s="489" t="s">
        <v>69</v>
      </c>
      <c r="B159" s="827"/>
      <c r="C159" s="827" t="s">
        <v>68</v>
      </c>
      <c r="D159" s="265">
        <f>D121-D123-D124-D142-D145</f>
        <v>559436.13</v>
      </c>
      <c r="E159" s="265">
        <f>E121-E123-E124-E142-E145</f>
        <v>0</v>
      </c>
      <c r="F159" s="265">
        <f>F121-F123-F124-F142-F145</f>
        <v>716862.09999999986</v>
      </c>
      <c r="G159" s="265">
        <f>G121-G123-G124-G142-G145</f>
        <v>0</v>
      </c>
    </row>
    <row r="160" spans="1:7">
      <c r="A160" s="489" t="s">
        <v>66</v>
      </c>
      <c r="B160" s="827"/>
      <c r="C160" s="827" t="s">
        <v>67</v>
      </c>
      <c r="D160" s="276">
        <f>IF(D175=0,"-",1000*D158/D175)</f>
        <v>2657.3918011902729</v>
      </c>
      <c r="E160" s="276">
        <f>IF(E175=0,"-",1000*E158/E175)</f>
        <v>0</v>
      </c>
      <c r="F160" s="276">
        <f>IF(F175=0,"-",1000*F158/F175)</f>
        <v>3222.4814536841827</v>
      </c>
      <c r="G160" s="276">
        <f>IF(G175=0,"-",1000*G158/G175)</f>
        <v>0</v>
      </c>
    </row>
    <row r="161" spans="1:7">
      <c r="A161" s="489" t="s">
        <v>66</v>
      </c>
      <c r="B161" s="827"/>
      <c r="C161" s="827" t="s">
        <v>65</v>
      </c>
      <c r="D161" s="265">
        <f>IF(D175=0,0,1000*(D159/D175))</f>
        <v>2127.4166904340882</v>
      </c>
      <c r="E161" s="265">
        <f>IF(E175=0,0,1000*(E159/E175))</f>
        <v>0</v>
      </c>
      <c r="F161" s="265">
        <f>IF(F175=0,0,1000*(F159/F175))</f>
        <v>2703.6402448453118</v>
      </c>
      <c r="G161" s="265">
        <f>IF(G175=0,0,1000*(G159/G175))</f>
        <v>0</v>
      </c>
    </row>
    <row r="162" spans="1:7">
      <c r="A162" s="492" t="s">
        <v>64</v>
      </c>
      <c r="B162" s="828"/>
      <c r="C162" s="828" t="s">
        <v>63</v>
      </c>
      <c r="D162" s="273">
        <f>IF((D22+D23+D65+D66)=0,0,D158/(D22+D23+D65+D66))</f>
        <v>0.79790609449317973</v>
      </c>
      <c r="E162" s="273">
        <f>IF((E22+E23+E65+E66)=0,0,E158/(E22+E23+E65+E66))</f>
        <v>0</v>
      </c>
      <c r="F162" s="273">
        <f>IF((F22+F23+F65+F66)=0,0,F158/(F22+F23+F65+F66))</f>
        <v>0.94510483709152882</v>
      </c>
      <c r="G162" s="273">
        <f>IF((G22+G23+G65+G66)=0,0,G158/(G22+G23+G65+G66))</f>
        <v>0</v>
      </c>
    </row>
    <row r="163" spans="1:7">
      <c r="A163" s="489" t="s">
        <v>62</v>
      </c>
      <c r="B163" s="827"/>
      <c r="C163" s="827" t="s">
        <v>61</v>
      </c>
      <c r="D163" s="268">
        <f>D145</f>
        <v>822621.57</v>
      </c>
      <c r="E163" s="268">
        <f>E145</f>
        <v>0</v>
      </c>
      <c r="F163" s="268">
        <f>F145</f>
        <v>687767.3</v>
      </c>
      <c r="G163" s="268">
        <f>G145</f>
        <v>0</v>
      </c>
    </row>
    <row r="164" spans="1:7" ht="25.5">
      <c r="A164" s="497" t="s">
        <v>60</v>
      </c>
      <c r="B164" s="655"/>
      <c r="C164" s="655" t="s">
        <v>59</v>
      </c>
      <c r="D164" s="274">
        <f>IF(D178=0,0,D146/D178)</f>
        <v>0.13803153254016509</v>
      </c>
      <c r="E164" s="274">
        <f>IF(E178=0,0,E146/E178)</f>
        <v>0</v>
      </c>
      <c r="F164" s="274">
        <f>IF(F178=0,0,F146/F178)</f>
        <v>0</v>
      </c>
      <c r="G164" s="274">
        <f>IF(G178=0,0,G146/G178)</f>
        <v>0</v>
      </c>
    </row>
    <row r="165" spans="1:7">
      <c r="A165" s="486" t="s">
        <v>58</v>
      </c>
      <c r="B165" s="826"/>
      <c r="C165" s="826" t="s">
        <v>57</v>
      </c>
      <c r="D165" s="262">
        <f>IF(D177=0,0,D180/D177)</f>
        <v>3.8575469385848604E-2</v>
      </c>
      <c r="E165" s="262">
        <f>IF(E177=0,0,E180/E177)</f>
        <v>4.336758385793571E-2</v>
      </c>
      <c r="F165" s="262">
        <f>IF(F177=0,0,F180/F177)</f>
        <v>3.8922869101233971E-2</v>
      </c>
      <c r="G165" s="262">
        <f>IF(G177=0,0,G180/G177)</f>
        <v>4.5801510834866381E-2</v>
      </c>
    </row>
    <row r="166" spans="1:7">
      <c r="A166" s="489" t="s">
        <v>56</v>
      </c>
      <c r="B166" s="827"/>
      <c r="C166" s="827" t="s">
        <v>55</v>
      </c>
      <c r="D166" s="268">
        <f>D55</f>
        <v>-21230.510000000009</v>
      </c>
      <c r="E166" s="268">
        <f>E55</f>
        <v>26960.740000000005</v>
      </c>
      <c r="F166" s="268">
        <f>F55</f>
        <v>-9100.0000000000073</v>
      </c>
      <c r="G166" s="268">
        <f>G55</f>
        <v>15685.699999999997</v>
      </c>
    </row>
    <row r="167" spans="1:7">
      <c r="A167" s="492" t="s">
        <v>54</v>
      </c>
      <c r="B167" s="828"/>
      <c r="C167" s="828" t="s">
        <v>53</v>
      </c>
      <c r="D167" s="273">
        <f>IF(0=D111,0,(D44+D45+D46+D47+D48)/D111)</f>
        <v>1.0987013301977534E-2</v>
      </c>
      <c r="E167" s="273">
        <f>IF(0=E111,0,(E44+E45+E46+E47+E48)/E111)</f>
        <v>0</v>
      </c>
      <c r="F167" s="273">
        <f>IF(0=F111,0,(F44+F45+F46+F47+F48)/F111)</f>
        <v>1.3242039857585042E-2</v>
      </c>
      <c r="G167" s="273">
        <f>IF(0=G111,0,(G44+G45+G46+G47+G48)/G111)</f>
        <v>0</v>
      </c>
    </row>
    <row r="168" spans="1:7">
      <c r="A168" s="489" t="s">
        <v>52</v>
      </c>
      <c r="B168" s="829"/>
      <c r="C168" s="829" t="s">
        <v>51</v>
      </c>
      <c r="D168" s="268">
        <f>D38-D44</f>
        <v>-539.09999999999945</v>
      </c>
      <c r="E168" s="268">
        <f>E38-E44</f>
        <v>6405</v>
      </c>
      <c r="F168" s="268">
        <f>F38-F44</f>
        <v>236.10000000000036</v>
      </c>
      <c r="G168" s="268">
        <f>G38-G44</f>
        <v>17232</v>
      </c>
    </row>
    <row r="169" spans="1:7">
      <c r="A169" s="492" t="s">
        <v>50</v>
      </c>
      <c r="B169" s="828"/>
      <c r="C169" s="828" t="s">
        <v>49</v>
      </c>
      <c r="D169" s="269">
        <f>IF(D177=0,0,D168/D177)</f>
        <v>-3.0178475200044464E-4</v>
      </c>
      <c r="E169" s="269">
        <f>IF(E177=0,0,E168/E177)</f>
        <v>3.5445545862900474E-3</v>
      </c>
      <c r="F169" s="269">
        <f>IF(F177=0,0,F168/F177)</f>
        <v>1.3052868595925997E-4</v>
      </c>
      <c r="G169" s="269">
        <f>IF(G177=0,0,G168/G177)</f>
        <v>9.4351208685961759E-3</v>
      </c>
    </row>
    <row r="170" spans="1:7">
      <c r="A170" s="489" t="s">
        <v>48</v>
      </c>
      <c r="B170" s="827"/>
      <c r="C170" s="827" t="s">
        <v>47</v>
      </c>
      <c r="D170" s="268">
        <f>SUM(D82:D87)+SUM(D89:D94)</f>
        <v>169146.34</v>
      </c>
      <c r="E170" s="268">
        <f>SUM(E82:E87)+SUM(E89:E94)</f>
        <v>176824.7</v>
      </c>
      <c r="F170" s="268">
        <f>SUM(F82:F87)+SUM(F89:F94)</f>
        <v>126297.2</v>
      </c>
      <c r="G170" s="268">
        <f>SUM(G82:G87)+SUM(G89:G94)</f>
        <v>165632</v>
      </c>
    </row>
    <row r="171" spans="1:7">
      <c r="A171" s="489" t="s">
        <v>46</v>
      </c>
      <c r="B171" s="827"/>
      <c r="C171" s="827" t="s">
        <v>45</v>
      </c>
      <c r="D171" s="265">
        <f>SUM(D96:D102)+SUM(D104:D105)</f>
        <v>60080.640000000007</v>
      </c>
      <c r="E171" s="265">
        <f>SUM(E96:E102)+SUM(E104:E105)</f>
        <v>46635</v>
      </c>
      <c r="F171" s="265">
        <f>SUM(F96:F102)+SUM(F104:F105)</f>
        <v>38925</v>
      </c>
      <c r="G171" s="265">
        <f>SUM(G96:G102)+SUM(G104:G105)</f>
        <v>34499</v>
      </c>
    </row>
    <row r="172" spans="1:7">
      <c r="A172" s="486" t="s">
        <v>44</v>
      </c>
      <c r="B172" s="826"/>
      <c r="C172" s="826" t="s">
        <v>43</v>
      </c>
      <c r="D172" s="262">
        <f>IF(D184=0,0,D170/D184)</f>
        <v>8.4698657837478861E-2</v>
      </c>
      <c r="E172" s="262">
        <f>IF(E184=0,0,E170/E184)</f>
        <v>8.7427017438573298E-2</v>
      </c>
      <c r="F172" s="262">
        <f>IF(F184=0,0,F170/F184)</f>
        <v>6.4846392024384428E-2</v>
      </c>
      <c r="G172" s="262">
        <f>IF(G184=0,0,G170/G184)</f>
        <v>8.2873514218867891E-2</v>
      </c>
    </row>
    <row r="173" spans="1:7">
      <c r="A173" s="678"/>
    </row>
    <row r="174" spans="1:7">
      <c r="A174" s="479" t="s">
        <v>42</v>
      </c>
      <c r="B174" s="477"/>
      <c r="C174" s="649"/>
      <c r="D174" s="260"/>
      <c r="E174" s="260"/>
      <c r="F174" s="260"/>
      <c r="G174" s="260"/>
    </row>
    <row r="175" spans="1:7" s="480" customFormat="1">
      <c r="A175" s="478" t="s">
        <v>41</v>
      </c>
      <c r="B175" s="477"/>
      <c r="C175" s="477" t="s">
        <v>259</v>
      </c>
      <c r="D175" s="650">
        <v>262965</v>
      </c>
      <c r="E175" s="650">
        <v>264300</v>
      </c>
      <c r="F175" s="650">
        <v>265147</v>
      </c>
      <c r="G175" s="650">
        <v>265946</v>
      </c>
    </row>
    <row r="176" spans="1:7">
      <c r="A176" s="479" t="s">
        <v>39</v>
      </c>
      <c r="B176" s="477"/>
      <c r="C176" s="477"/>
      <c r="D176" s="477"/>
      <c r="E176" s="477"/>
      <c r="F176" s="477"/>
      <c r="G176" s="477"/>
    </row>
    <row r="177" spans="1:7">
      <c r="A177" s="478" t="s">
        <v>38</v>
      </c>
      <c r="B177" s="477"/>
      <c r="C177" s="477" t="s">
        <v>37</v>
      </c>
      <c r="D177" s="475">
        <f>SUM(D22:D32)+SUM(D44:D53)+SUM(D65:D72)+D75</f>
        <v>1786372.56</v>
      </c>
      <c r="E177" s="475">
        <f>SUM(E22:E32)+SUM(E44:E53)+SUM(E65:E72)+E75</f>
        <v>1806997.1400000004</v>
      </c>
      <c r="F177" s="475">
        <f>SUM(F22:F32)+SUM(F44:F53)+SUM(F65:F72)+F75</f>
        <v>1808797.8000000003</v>
      </c>
      <c r="G177" s="475">
        <f>SUM(G22:G32)+SUM(G44:G53)+SUM(G65:G72)+G75</f>
        <v>1826367.7</v>
      </c>
    </row>
    <row r="178" spans="1:7">
      <c r="A178" s="478" t="s">
        <v>36</v>
      </c>
      <c r="B178" s="477"/>
      <c r="C178" s="477" t="s">
        <v>35</v>
      </c>
      <c r="D178" s="475">
        <f>D78-D17-D20-D59-D63-D64</f>
        <v>1907718.81</v>
      </c>
      <c r="E178" s="475">
        <f>E78-E17-E20-E59-E63-E64</f>
        <v>1919379.0329999998</v>
      </c>
      <c r="F178" s="475">
        <f>F78-F17-F20-F59-F63-F64</f>
        <v>1943652.1</v>
      </c>
      <c r="G178" s="475">
        <f>G78-G17-G20-G59-G63-G64</f>
        <v>1900028.3699999999</v>
      </c>
    </row>
    <row r="179" spans="1:7">
      <c r="A179" s="478"/>
      <c r="B179" s="477"/>
      <c r="C179" s="477" t="s">
        <v>34</v>
      </c>
      <c r="D179" s="475">
        <f>D178+D170</f>
        <v>2076865.1500000001</v>
      </c>
      <c r="E179" s="475">
        <f>E178+E170</f>
        <v>2096203.7329999998</v>
      </c>
      <c r="F179" s="475">
        <f>F178+F170</f>
        <v>2069949.3</v>
      </c>
      <c r="G179" s="475">
        <f>G178+G170</f>
        <v>2065660.3699999999</v>
      </c>
    </row>
    <row r="180" spans="1:7">
      <c r="A180" s="478" t="s">
        <v>33</v>
      </c>
      <c r="B180" s="477"/>
      <c r="C180" s="477" t="s">
        <v>32</v>
      </c>
      <c r="D180" s="475">
        <f>D38-D44+D8+D9+D10+D16-D33</f>
        <v>68910.16</v>
      </c>
      <c r="E180" s="475">
        <f>E38-E44+E8+E9+E10+E16-E33</f>
        <v>78365.100000000006</v>
      </c>
      <c r="F180" s="475">
        <f>F38-F44+F8+F9+F10+F16-F33</f>
        <v>70403.599999999991</v>
      </c>
      <c r="G180" s="475">
        <f>G38-G44+G8+G9+G10+G16-G33</f>
        <v>83650.399999999994</v>
      </c>
    </row>
    <row r="181" spans="1:7" ht="27.6" customHeight="1">
      <c r="A181" s="474" t="s">
        <v>31</v>
      </c>
      <c r="B181" s="472"/>
      <c r="C181" s="472" t="s">
        <v>30</v>
      </c>
      <c r="D181" s="825">
        <f>D22+D23+D24+D25+D26+D29+SUM(D44:D47)+SUM(D49:D53)-D54+D32-D33+SUM(D65:D70)+D72</f>
        <v>1784257.1099999999</v>
      </c>
      <c r="E181" s="249">
        <f>E22+E23+E24+E25+E26+E29+SUM(E44:E47)+SUM(E49:E53)-E54+E32-E33+SUM(E65:E70)+E72</f>
        <v>1804890.2700000003</v>
      </c>
      <c r="F181" s="825">
        <f>F22+F23+F24+F25+F26+F29+SUM(F44:F47)+SUM(F49:F53)-F54+F32-F33+SUM(F65:F70)+F72</f>
        <v>1806982.1</v>
      </c>
      <c r="G181" s="249">
        <f>G22+G23+G24+G25+G26+G29+SUM(G44:G47)+SUM(G49:G53)-G54+G32-G33+SUM(G65:G70)+G72</f>
        <v>1824031</v>
      </c>
    </row>
    <row r="182" spans="1:7">
      <c r="A182" s="473" t="s">
        <v>29</v>
      </c>
      <c r="B182" s="472"/>
      <c r="C182" s="472" t="s">
        <v>28</v>
      </c>
      <c r="D182" s="825">
        <f>D181+D171</f>
        <v>1844337.7499999998</v>
      </c>
      <c r="E182" s="249">
        <f>E181+E171</f>
        <v>1851525.2700000003</v>
      </c>
      <c r="F182" s="825">
        <f>F181+F171</f>
        <v>1845907.1</v>
      </c>
      <c r="G182" s="249">
        <f>G181+G171</f>
        <v>1858530</v>
      </c>
    </row>
    <row r="183" spans="1:7">
      <c r="A183" s="473" t="s">
        <v>27</v>
      </c>
      <c r="B183" s="472"/>
      <c r="C183" s="472" t="s">
        <v>26</v>
      </c>
      <c r="D183" s="249">
        <f>D4+D5-D7+D38+D39+D40+D41+D43+D13-D16+D57+D58+D60+D62</f>
        <v>1827890.4999999998</v>
      </c>
      <c r="E183" s="249">
        <f>E4+E5-E7+E38+E39+E40+E41+E43+E13-E16+E57+E58+E60+E62</f>
        <v>1845715.9879999999</v>
      </c>
      <c r="F183" s="249">
        <f>F4+F5-F7+F38+F39+F40+F41+F43+F13-F16+F57+F58+F60+F62</f>
        <v>1821339.3</v>
      </c>
      <c r="G183" s="249">
        <f>G4+G5-G7+G38+G39+G40+G41+G43+G13-G16+G57+G58+G60+G62</f>
        <v>1832980</v>
      </c>
    </row>
    <row r="184" spans="1:7">
      <c r="A184" s="473" t="s">
        <v>25</v>
      </c>
      <c r="B184" s="472"/>
      <c r="C184" s="472" t="s">
        <v>24</v>
      </c>
      <c r="D184" s="825">
        <f>D183+D170</f>
        <v>1997036.8399999999</v>
      </c>
      <c r="E184" s="249">
        <f>E183+E170</f>
        <v>2022540.6879999998</v>
      </c>
      <c r="F184" s="825">
        <f>F183+F170</f>
        <v>1947636.5</v>
      </c>
      <c r="G184" s="249">
        <f>G183+G170</f>
        <v>1998612</v>
      </c>
    </row>
    <row r="185" spans="1:7">
      <c r="A185" s="473"/>
      <c r="B185" s="472"/>
      <c r="C185" s="472" t="s">
        <v>23</v>
      </c>
      <c r="D185" s="825">
        <f t="shared" ref="D185:G186" si="0">D181-D183</f>
        <v>-43633.389999999898</v>
      </c>
      <c r="E185" s="249">
        <f t="shared" si="0"/>
        <v>-40825.717999999644</v>
      </c>
      <c r="F185" s="825">
        <f t="shared" si="0"/>
        <v>-14357.199999999953</v>
      </c>
      <c r="G185" s="249">
        <f t="shared" si="0"/>
        <v>-8949</v>
      </c>
    </row>
    <row r="186" spans="1:7">
      <c r="A186" s="473"/>
      <c r="B186" s="472"/>
      <c r="C186" s="472" t="s">
        <v>22</v>
      </c>
      <c r="D186" s="825">
        <f t="shared" si="0"/>
        <v>-152699.09000000008</v>
      </c>
      <c r="E186" s="249">
        <f t="shared" si="0"/>
        <v>-171015.4179999996</v>
      </c>
      <c r="F186" s="825">
        <f t="shared" si="0"/>
        <v>-101729.39999999991</v>
      </c>
      <c r="G186" s="249">
        <f t="shared" si="0"/>
        <v>-140082</v>
      </c>
    </row>
  </sheetData>
  <sheetProtection selectLockedCells="1" sort="0" autoFilter="0" pivotTables="0"/>
  <autoFilter ref="A1:G79"/>
  <mergeCells count="2">
    <mergeCell ref="A3:C3"/>
    <mergeCell ref="A81:C81"/>
  </mergeCells>
  <pageMargins left="0.23622047244094491" right="0.23622047244094491" top="0.74803149606299213" bottom="0.74803149606299213" header="0.31496062992125984" footer="0.31496062992125984"/>
  <pageSetup paperSize="9" orientation="landscape" r:id="rId1"/>
  <headerFooter alignWithMargins="0">
    <oddHeader>&amp;LFachgruppe für kantonale Finanzfragen (FkF)
Groupe d'études pour les finances cantonales
&amp;CKanton VD&amp;RZürich, 11.05.2015</oddHeader>
    <oddFooter>&amp;L&amp;F / &amp;A</oddFooter>
  </headerFooter>
  <rowBreaks count="2" manualBreakCount="2">
    <brk id="79" max="16383" man="1"/>
    <brk id="147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44">
    <tabColor rgb="FF00B050"/>
  </sheetPr>
  <dimension ref="A1:AL189"/>
  <sheetViews>
    <sheetView zoomScale="115" zoomScaleNormal="115" workbookViewId="0">
      <selection activeCell="G10" sqref="G10"/>
    </sheetView>
  </sheetViews>
  <sheetFormatPr baseColWidth="10" defaultColWidth="11.42578125" defaultRowHeight="12.75"/>
  <cols>
    <col min="1" max="1" width="15.140625" style="470" customWidth="1"/>
    <col min="2" max="2" width="3.7109375" style="470" customWidth="1"/>
    <col min="3" max="3" width="44.7109375" style="470" customWidth="1"/>
    <col min="4" max="16384" width="11.42578125" style="470"/>
  </cols>
  <sheetData>
    <row r="1" spans="1:38" s="642" customFormat="1" ht="18" customHeight="1">
      <c r="A1" s="752" t="s">
        <v>258</v>
      </c>
      <c r="B1" s="752" t="s">
        <v>270</v>
      </c>
      <c r="C1" s="752" t="s">
        <v>269</v>
      </c>
      <c r="D1" s="643" t="s">
        <v>255</v>
      </c>
      <c r="E1" s="644" t="s">
        <v>254</v>
      </c>
      <c r="F1" s="643" t="s">
        <v>255</v>
      </c>
      <c r="G1" s="644" t="s">
        <v>254</v>
      </c>
      <c r="H1" s="608"/>
      <c r="I1" s="608"/>
      <c r="J1" s="608"/>
      <c r="K1" s="608"/>
      <c r="L1" s="608"/>
      <c r="M1" s="608"/>
      <c r="N1" s="608"/>
      <c r="O1" s="608"/>
      <c r="P1" s="608"/>
      <c r="Q1" s="608"/>
      <c r="R1" s="608"/>
      <c r="S1" s="608"/>
      <c r="T1" s="608"/>
      <c r="U1" s="608"/>
      <c r="V1" s="608"/>
      <c r="W1" s="608"/>
      <c r="X1" s="608"/>
      <c r="Y1" s="608"/>
      <c r="Z1" s="608"/>
      <c r="AA1" s="608"/>
      <c r="AB1" s="608"/>
      <c r="AC1" s="608"/>
      <c r="AD1" s="608"/>
      <c r="AE1" s="608"/>
      <c r="AF1" s="608"/>
      <c r="AG1" s="608"/>
      <c r="AH1" s="608"/>
      <c r="AI1" s="608"/>
      <c r="AJ1" s="608"/>
      <c r="AK1" s="608"/>
      <c r="AL1" s="608"/>
    </row>
    <row r="2" spans="1:38" s="636" customFormat="1" ht="15" customHeight="1">
      <c r="A2" s="641"/>
      <c r="B2" s="640"/>
      <c r="C2" s="639" t="s">
        <v>253</v>
      </c>
      <c r="D2" s="637">
        <v>2013</v>
      </c>
      <c r="E2" s="638">
        <v>2014</v>
      </c>
      <c r="F2" s="637">
        <v>2014</v>
      </c>
      <c r="G2" s="638">
        <v>2015</v>
      </c>
    </row>
    <row r="3" spans="1:38" ht="15" customHeight="1">
      <c r="A3" s="949" t="s">
        <v>252</v>
      </c>
      <c r="B3" s="950"/>
      <c r="C3" s="950"/>
      <c r="D3" s="512"/>
      <c r="E3" s="635" t="s">
        <v>251</v>
      </c>
      <c r="F3" s="512"/>
      <c r="G3" s="757" t="s">
        <v>251</v>
      </c>
    </row>
    <row r="4" spans="1:38" s="480" customFormat="1" ht="12.75" customHeight="1">
      <c r="A4" s="670">
        <v>30</v>
      </c>
      <c r="B4" s="669"/>
      <c r="C4" s="632" t="s">
        <v>250</v>
      </c>
      <c r="D4" s="411">
        <v>1126092.175</v>
      </c>
      <c r="E4" s="453">
        <v>1185955.861</v>
      </c>
      <c r="F4" s="411">
        <v>1154962.2379999999</v>
      </c>
      <c r="G4" s="453">
        <v>1213678.2549999999</v>
      </c>
    </row>
    <row r="5" spans="1:38" s="480" customFormat="1" ht="12.75" customHeight="1">
      <c r="A5" s="591">
        <v>31</v>
      </c>
      <c r="B5" s="587"/>
      <c r="C5" s="585" t="s">
        <v>249</v>
      </c>
      <c r="D5" s="317">
        <v>450967.04499999998</v>
      </c>
      <c r="E5" s="361">
        <v>449428.32500000001</v>
      </c>
      <c r="F5" s="317">
        <v>475120.31300000002</v>
      </c>
      <c r="G5" s="361">
        <v>429979.89899999998</v>
      </c>
    </row>
    <row r="6" spans="1:38" s="480" customFormat="1" ht="12.75" customHeight="1">
      <c r="A6" s="630" t="s">
        <v>248</v>
      </c>
      <c r="B6" s="586"/>
      <c r="C6" s="616" t="s">
        <v>247</v>
      </c>
      <c r="D6" s="322">
        <v>50873.758999999998</v>
      </c>
      <c r="E6" s="321">
        <v>51623.565000000002</v>
      </c>
      <c r="F6" s="322">
        <v>53957.743000000002</v>
      </c>
      <c r="G6" s="361">
        <v>39091.983999999997</v>
      </c>
    </row>
    <row r="7" spans="1:38" s="480" customFormat="1" ht="12.75" customHeight="1">
      <c r="A7" s="630" t="s">
        <v>246</v>
      </c>
      <c r="B7" s="586"/>
      <c r="C7" s="616" t="s">
        <v>245</v>
      </c>
      <c r="D7" s="322">
        <v>327.67899999999997</v>
      </c>
      <c r="E7" s="321">
        <v>0</v>
      </c>
      <c r="F7" s="322">
        <v>-350.858</v>
      </c>
      <c r="G7" s="361">
        <v>81.099999999999994</v>
      </c>
    </row>
    <row r="8" spans="1:38" s="480" customFormat="1" ht="12.75" customHeight="1">
      <c r="A8" s="593">
        <v>330</v>
      </c>
      <c r="B8" s="587"/>
      <c r="C8" s="585" t="s">
        <v>244</v>
      </c>
      <c r="D8" s="317">
        <f>4858.586+155625.568</f>
        <v>160484.15400000001</v>
      </c>
      <c r="E8" s="316">
        <f>5551.071+125819.47</f>
        <v>131370.541</v>
      </c>
      <c r="F8" s="317">
        <f>3711.665+1184.002+162141.398</f>
        <v>167037.06499999997</v>
      </c>
      <c r="G8" s="361">
        <f>4103.521+1502.683+164465.582</f>
        <v>170071.78599999999</v>
      </c>
    </row>
    <row r="9" spans="1:38" s="480" customFormat="1" ht="12.75" customHeight="1">
      <c r="A9" s="593">
        <v>332</v>
      </c>
      <c r="B9" s="587"/>
      <c r="C9" s="585" t="s">
        <v>243</v>
      </c>
      <c r="D9" s="317">
        <v>5501.2839999999997</v>
      </c>
      <c r="E9" s="316">
        <v>3215.0189999999998</v>
      </c>
      <c r="F9" s="317">
        <f>670.686+4.139+6105.772</f>
        <v>6780.5969999999998</v>
      </c>
      <c r="G9" s="361">
        <f>434.783+20+6866.829</f>
        <v>7321.6120000000001</v>
      </c>
    </row>
    <row r="10" spans="1:38" s="480" customFormat="1" ht="12.75" customHeight="1">
      <c r="A10" s="593">
        <v>339</v>
      </c>
      <c r="B10" s="587"/>
      <c r="C10" s="585" t="s">
        <v>242</v>
      </c>
      <c r="D10" s="317">
        <v>0</v>
      </c>
      <c r="E10" s="316">
        <v>0</v>
      </c>
      <c r="F10" s="317">
        <v>0</v>
      </c>
      <c r="G10" s="361">
        <v>0</v>
      </c>
    </row>
    <row r="11" spans="1:38" s="480" customFormat="1" ht="12.75" customHeight="1">
      <c r="A11" s="591">
        <v>350</v>
      </c>
      <c r="B11" s="587"/>
      <c r="C11" s="585" t="s">
        <v>241</v>
      </c>
      <c r="D11" s="317">
        <v>0</v>
      </c>
      <c r="E11" s="316">
        <v>0</v>
      </c>
      <c r="F11" s="317">
        <v>0</v>
      </c>
      <c r="G11" s="361">
        <v>0</v>
      </c>
    </row>
    <row r="12" spans="1:38" s="579" customFormat="1">
      <c r="A12" s="597">
        <v>351</v>
      </c>
      <c r="B12" s="596"/>
      <c r="C12" s="589" t="s">
        <v>240</v>
      </c>
      <c r="D12" s="362">
        <v>154.59399999999999</v>
      </c>
      <c r="E12" s="400">
        <v>0</v>
      </c>
      <c r="F12" s="362">
        <v>0</v>
      </c>
      <c r="G12" s="361">
        <v>0</v>
      </c>
    </row>
    <row r="13" spans="1:38" s="480" customFormat="1" ht="12.75" customHeight="1">
      <c r="A13" s="591">
        <v>36</v>
      </c>
      <c r="B13" s="587"/>
      <c r="C13" s="585" t="s">
        <v>239</v>
      </c>
      <c r="D13" s="362">
        <f>1837553.49+22122.315</f>
        <v>1859675.8049999999</v>
      </c>
      <c r="E13" s="316">
        <f>1835008.632+7776.635</f>
        <v>1842785.267</v>
      </c>
      <c r="F13" s="362">
        <f>1919139.408+15396.578</f>
        <v>1934535.986</v>
      </c>
      <c r="G13" s="361">
        <f>1933580.975+11241.819</f>
        <v>1944822.794</v>
      </c>
    </row>
    <row r="14" spans="1:38" s="480" customFormat="1" ht="12.75" customHeight="1">
      <c r="A14" s="629" t="s">
        <v>238</v>
      </c>
      <c r="B14" s="587"/>
      <c r="C14" s="627" t="s">
        <v>237</v>
      </c>
      <c r="D14" s="362">
        <f>97371.978+159358.096+40784</f>
        <v>297514.07400000002</v>
      </c>
      <c r="E14" s="316">
        <v>297205.38099999999</v>
      </c>
      <c r="F14" s="362">
        <f>86497.286+163290.618+45860</f>
        <v>295647.90399999998</v>
      </c>
      <c r="G14" s="361">
        <f>80920+165671.5+43780</f>
        <v>290371.5</v>
      </c>
    </row>
    <row r="15" spans="1:38" s="480" customFormat="1" ht="12.75" customHeight="1">
      <c r="A15" s="629" t="s">
        <v>236</v>
      </c>
      <c r="B15" s="587"/>
      <c r="C15" s="627" t="s">
        <v>235</v>
      </c>
      <c r="D15" s="362">
        <f>3125.991+7988.45</f>
        <v>11114.440999999999</v>
      </c>
      <c r="E15" s="316">
        <v>10752.5</v>
      </c>
      <c r="F15" s="362">
        <f>3198.527+6504.122</f>
        <v>9702.6490000000013</v>
      </c>
      <c r="G15" s="361">
        <f>2782.5+7450</f>
        <v>10232.5</v>
      </c>
    </row>
    <row r="16" spans="1:38" s="626" customFormat="1" ht="26.25" customHeight="1">
      <c r="A16" s="629" t="s">
        <v>234</v>
      </c>
      <c r="B16" s="668"/>
      <c r="C16" s="627" t="s">
        <v>233</v>
      </c>
      <c r="D16" s="444">
        <f>2500+10321.993+9300.323</f>
        <v>22122.315999999999</v>
      </c>
      <c r="E16" s="443">
        <v>7776.6350000000002</v>
      </c>
      <c r="F16" s="444">
        <v>15396.578</v>
      </c>
      <c r="G16" s="444">
        <f>2500+8741.819</f>
        <v>11241.819</v>
      </c>
    </row>
    <row r="17" spans="1:7" s="622" customFormat="1">
      <c r="A17" s="591">
        <v>37</v>
      </c>
      <c r="B17" s="587"/>
      <c r="C17" s="585" t="s">
        <v>211</v>
      </c>
      <c r="D17" s="362">
        <v>0</v>
      </c>
      <c r="E17" s="430">
        <v>0</v>
      </c>
      <c r="F17" s="362">
        <v>0</v>
      </c>
      <c r="G17" s="361">
        <v>0</v>
      </c>
    </row>
    <row r="18" spans="1:7" s="622" customFormat="1">
      <c r="A18" s="617" t="s">
        <v>232</v>
      </c>
      <c r="B18" s="586"/>
      <c r="C18" s="616" t="s">
        <v>231</v>
      </c>
      <c r="D18" s="362">
        <v>0</v>
      </c>
      <c r="E18" s="430">
        <v>0</v>
      </c>
      <c r="F18" s="362">
        <v>0</v>
      </c>
      <c r="G18" s="361">
        <v>0</v>
      </c>
    </row>
    <row r="19" spans="1:7" s="622" customFormat="1">
      <c r="A19" s="617" t="s">
        <v>230</v>
      </c>
      <c r="B19" s="586"/>
      <c r="C19" s="616" t="s">
        <v>229</v>
      </c>
      <c r="D19" s="362">
        <v>0</v>
      </c>
      <c r="E19" s="430">
        <v>0</v>
      </c>
      <c r="F19" s="362">
        <v>0</v>
      </c>
      <c r="G19" s="361">
        <v>0</v>
      </c>
    </row>
    <row r="20" spans="1:7" s="480" customFormat="1" ht="12.75" customHeight="1">
      <c r="A20" s="615">
        <v>39</v>
      </c>
      <c r="B20" s="614"/>
      <c r="C20" s="583" t="s">
        <v>228</v>
      </c>
      <c r="D20" s="355">
        <v>241796.32</v>
      </c>
      <c r="E20" s="372">
        <v>228248.85399999999</v>
      </c>
      <c r="F20" s="355">
        <v>255383.51800000001</v>
      </c>
      <c r="G20" s="354">
        <v>263506.45299999998</v>
      </c>
    </row>
    <row r="21" spans="1:7" ht="12.75" customHeight="1">
      <c r="A21" s="578"/>
      <c r="B21" s="578"/>
      <c r="C21" s="576" t="s">
        <v>227</v>
      </c>
      <c r="D21" s="380">
        <f>D4+D5+SUM(D8:D13)+D17</f>
        <v>3602875.057</v>
      </c>
      <c r="E21" s="380">
        <f>E4+E5+SUM(E8:E13)+E17</f>
        <v>3612755.0130000003</v>
      </c>
      <c r="F21" s="380">
        <f>F4+F5+SUM(F8:F13)+F17</f>
        <v>3738436.199</v>
      </c>
      <c r="G21" s="380">
        <f>G4+G5+SUM(G8:G13)+G17</f>
        <v>3765874.3459999999</v>
      </c>
    </row>
    <row r="22" spans="1:7" s="480" customFormat="1" ht="12.75" customHeight="1">
      <c r="A22" s="593" t="s">
        <v>226</v>
      </c>
      <c r="B22" s="587"/>
      <c r="C22" s="585" t="s">
        <v>225</v>
      </c>
      <c r="D22" s="317">
        <f>1611694.629+678460.979</f>
        <v>2290155.608</v>
      </c>
      <c r="E22" s="316">
        <f>1735000+643000</f>
        <v>2378000</v>
      </c>
      <c r="F22" s="317">
        <f>1739117.244+698094.639</f>
        <v>2437211.8829999999</v>
      </c>
      <c r="G22" s="316">
        <f>1704200+697000</f>
        <v>2401200</v>
      </c>
    </row>
    <row r="23" spans="1:7" s="480" customFormat="1" ht="12.75" customHeight="1">
      <c r="A23" s="593" t="s">
        <v>224</v>
      </c>
      <c r="B23" s="587"/>
      <c r="C23" s="585" t="s">
        <v>223</v>
      </c>
      <c r="D23" s="317">
        <f>157390.507+33834.295</f>
        <v>191224.80200000003</v>
      </c>
      <c r="E23" s="316">
        <f>117000+33635</f>
        <v>150635</v>
      </c>
      <c r="F23" s="317">
        <f>148898.936+33097.529</f>
        <v>181996.465</v>
      </c>
      <c r="G23" s="316">
        <f>114300+33135</f>
        <v>147435</v>
      </c>
    </row>
    <row r="24" spans="1:7" s="621" customFormat="1" ht="12.75" customHeight="1">
      <c r="A24" s="591">
        <v>41</v>
      </c>
      <c r="B24" s="587"/>
      <c r="C24" s="585" t="s">
        <v>222</v>
      </c>
      <c r="D24" s="317">
        <v>33373.540999999997</v>
      </c>
      <c r="E24" s="316">
        <v>33515.599999999999</v>
      </c>
      <c r="F24" s="317">
        <v>17122.737000000001</v>
      </c>
      <c r="G24" s="316">
        <v>33715.599999999999</v>
      </c>
    </row>
    <row r="25" spans="1:7" s="480" customFormat="1" ht="12.75" customHeight="1">
      <c r="A25" s="620">
        <v>42</v>
      </c>
      <c r="B25" s="619"/>
      <c r="C25" s="585" t="s">
        <v>221</v>
      </c>
      <c r="D25" s="317">
        <v>419027.67300000001</v>
      </c>
      <c r="E25" s="316">
        <v>351530.10800000001</v>
      </c>
      <c r="F25" s="317">
        <v>502169.712</v>
      </c>
      <c r="G25" s="316">
        <v>460943.92700000003</v>
      </c>
    </row>
    <row r="26" spans="1:7" s="618" customFormat="1" ht="12.75" customHeight="1">
      <c r="A26" s="597">
        <v>430</v>
      </c>
      <c r="B26" s="587"/>
      <c r="C26" s="585" t="s">
        <v>220</v>
      </c>
      <c r="D26" s="431">
        <v>3399.0949999999998</v>
      </c>
      <c r="E26" s="430">
        <v>2090.9920000000002</v>
      </c>
      <c r="F26" s="431">
        <v>7302.4949999999999</v>
      </c>
      <c r="G26" s="430">
        <v>4290.7759999999998</v>
      </c>
    </row>
    <row r="27" spans="1:7" s="618" customFormat="1" ht="12.75" customHeight="1">
      <c r="A27" s="597">
        <v>431</v>
      </c>
      <c r="B27" s="587"/>
      <c r="C27" s="585" t="s">
        <v>219</v>
      </c>
      <c r="D27" s="431">
        <v>0</v>
      </c>
      <c r="E27" s="430">
        <v>0</v>
      </c>
      <c r="F27" s="431">
        <v>0</v>
      </c>
      <c r="G27" s="430">
        <v>0</v>
      </c>
    </row>
    <row r="28" spans="1:7" s="618" customFormat="1" ht="12.75" customHeight="1">
      <c r="A28" s="597">
        <v>432</v>
      </c>
      <c r="B28" s="587"/>
      <c r="C28" s="585" t="s">
        <v>218</v>
      </c>
      <c r="D28" s="431">
        <v>0</v>
      </c>
      <c r="E28" s="430">
        <v>0</v>
      </c>
      <c r="F28" s="431">
        <v>0</v>
      </c>
      <c r="G28" s="430">
        <v>0</v>
      </c>
    </row>
    <row r="29" spans="1:7" s="618" customFormat="1" ht="12.75" customHeight="1">
      <c r="A29" s="597">
        <v>439</v>
      </c>
      <c r="B29" s="587"/>
      <c r="C29" s="585" t="s">
        <v>217</v>
      </c>
      <c r="D29" s="431">
        <v>11619.6</v>
      </c>
      <c r="E29" s="430">
        <v>200</v>
      </c>
      <c r="F29" s="431">
        <v>15139.592000000001</v>
      </c>
      <c r="G29" s="430">
        <v>289.60700000000003</v>
      </c>
    </row>
    <row r="30" spans="1:7" s="480" customFormat="1" ht="25.5">
      <c r="A30" s="597">
        <v>450</v>
      </c>
      <c r="B30" s="596"/>
      <c r="C30" s="589" t="s">
        <v>216</v>
      </c>
      <c r="D30" s="362">
        <v>0</v>
      </c>
      <c r="E30" s="361">
        <v>0</v>
      </c>
      <c r="F30" s="362">
        <v>0</v>
      </c>
      <c r="G30" s="361">
        <v>0</v>
      </c>
    </row>
    <row r="31" spans="1:7" s="579" customFormat="1" ht="25.5">
      <c r="A31" s="597">
        <v>451</v>
      </c>
      <c r="B31" s="596"/>
      <c r="C31" s="589" t="s">
        <v>215</v>
      </c>
      <c r="D31" s="311">
        <v>177.48099999999999</v>
      </c>
      <c r="E31" s="310">
        <v>0</v>
      </c>
      <c r="F31" s="311">
        <v>0</v>
      </c>
      <c r="G31" s="310">
        <v>0</v>
      </c>
    </row>
    <row r="32" spans="1:7" s="480" customFormat="1" ht="12.75" customHeight="1">
      <c r="A32" s="591">
        <v>46</v>
      </c>
      <c r="B32" s="587"/>
      <c r="C32" s="585" t="s">
        <v>214</v>
      </c>
      <c r="D32" s="317">
        <f>521877.48+8581.943</f>
        <v>530459.42299999995</v>
      </c>
      <c r="E32" s="316">
        <f>528499.965+2750</f>
        <v>531249.96499999997</v>
      </c>
      <c r="F32" s="317">
        <f>549066.794+12070.21</f>
        <v>561137.00399999996</v>
      </c>
      <c r="G32" s="316">
        <f>546177.243+7825.82</f>
        <v>554003.06299999997</v>
      </c>
    </row>
    <row r="33" spans="1:7" s="579" customFormat="1" ht="12.75" customHeight="1">
      <c r="A33" s="617" t="s">
        <v>213</v>
      </c>
      <c r="B33" s="586"/>
      <c r="C33" s="616" t="s">
        <v>212</v>
      </c>
      <c r="D33" s="317">
        <v>8581.9429999999993</v>
      </c>
      <c r="E33" s="321">
        <v>2750</v>
      </c>
      <c r="F33" s="317">
        <v>12070.21</v>
      </c>
      <c r="G33" s="321">
        <v>7825.82</v>
      </c>
    </row>
    <row r="34" spans="1:7" s="480" customFormat="1" ht="15" customHeight="1">
      <c r="A34" s="591">
        <v>47</v>
      </c>
      <c r="B34" s="587"/>
      <c r="C34" s="585" t="s">
        <v>211</v>
      </c>
      <c r="D34" s="317">
        <v>0</v>
      </c>
      <c r="E34" s="316">
        <v>0</v>
      </c>
      <c r="F34" s="317">
        <v>0</v>
      </c>
      <c r="G34" s="316">
        <v>0</v>
      </c>
    </row>
    <row r="35" spans="1:7" s="480" customFormat="1" ht="15" customHeight="1">
      <c r="A35" s="615">
        <v>49</v>
      </c>
      <c r="B35" s="614"/>
      <c r="C35" s="583" t="s">
        <v>210</v>
      </c>
      <c r="D35" s="355">
        <v>241796.32</v>
      </c>
      <c r="E35" s="372">
        <v>228248.85399999999</v>
      </c>
      <c r="F35" s="355">
        <v>255383.51800000001</v>
      </c>
      <c r="G35" s="372">
        <v>263506.45299999998</v>
      </c>
    </row>
    <row r="36" spans="1:7" ht="13.5" customHeight="1">
      <c r="A36" s="578"/>
      <c r="B36" s="606"/>
      <c r="C36" s="576" t="s">
        <v>209</v>
      </c>
      <c r="D36" s="380">
        <f>D22+D23+D24+D25+D26+D27+D28+D29+D30+D31+D32+D34</f>
        <v>3479437.2230000007</v>
      </c>
      <c r="E36" s="380">
        <f>E22+E23+E24+E25+E26+E27+E28+E29+E30+E31+E32+E34</f>
        <v>3447221.665</v>
      </c>
      <c r="F36" s="380">
        <f>F22+F23+F24+F25+F26+F27+F28+F29+F30+F31+F32+F34</f>
        <v>3722079.8880000003</v>
      </c>
      <c r="G36" s="380">
        <f>G22+G23+G24+G25+G26+G27+G28+G29+G30+G31+G32+G34</f>
        <v>3601877.9730000002</v>
      </c>
    </row>
    <row r="37" spans="1:7" s="667" customFormat="1" ht="15" customHeight="1">
      <c r="A37" s="578"/>
      <c r="B37" s="606"/>
      <c r="C37" s="576" t="s">
        <v>208</v>
      </c>
      <c r="D37" s="380">
        <f>D36-D21</f>
        <v>-123437.83399999933</v>
      </c>
      <c r="E37" s="380">
        <f>E36-E21</f>
        <v>-165533.34800000023</v>
      </c>
      <c r="F37" s="380">
        <f>F36-F21</f>
        <v>-16356.310999999754</v>
      </c>
      <c r="G37" s="380">
        <f>G36-G21</f>
        <v>-163996.37299999967</v>
      </c>
    </row>
    <row r="38" spans="1:7" s="579" customFormat="1" ht="15" customHeight="1">
      <c r="A38" s="593">
        <v>340</v>
      </c>
      <c r="B38" s="587"/>
      <c r="C38" s="585" t="s">
        <v>207</v>
      </c>
      <c r="D38" s="362">
        <v>59895.32</v>
      </c>
      <c r="E38" s="316">
        <v>63324.803999999996</v>
      </c>
      <c r="F38" s="362">
        <v>51095.394</v>
      </c>
      <c r="G38" s="316">
        <v>46517.508999999998</v>
      </c>
    </row>
    <row r="39" spans="1:7" s="579" customFormat="1" ht="15" customHeight="1">
      <c r="A39" s="593">
        <v>341</v>
      </c>
      <c r="B39" s="587"/>
      <c r="C39" s="585" t="s">
        <v>206</v>
      </c>
      <c r="D39" s="317">
        <v>482.233</v>
      </c>
      <c r="E39" s="316">
        <v>20.87</v>
      </c>
      <c r="F39" s="317">
        <v>655.14200000000005</v>
      </c>
      <c r="G39" s="316">
        <v>21.8</v>
      </c>
    </row>
    <row r="40" spans="1:7" s="579" customFormat="1" ht="15" customHeight="1">
      <c r="A40" s="593">
        <v>342</v>
      </c>
      <c r="B40" s="587"/>
      <c r="C40" s="585" t="s">
        <v>205</v>
      </c>
      <c r="D40" s="317">
        <v>2991.386</v>
      </c>
      <c r="E40" s="316">
        <v>2917.9290000000001</v>
      </c>
      <c r="F40" s="317">
        <v>3196.7950000000001</v>
      </c>
      <c r="G40" s="316">
        <v>4351.0739999999996</v>
      </c>
    </row>
    <row r="41" spans="1:7" s="579" customFormat="1" ht="15" customHeight="1">
      <c r="A41" s="593">
        <v>343</v>
      </c>
      <c r="B41" s="587"/>
      <c r="C41" s="585" t="s">
        <v>204</v>
      </c>
      <c r="D41" s="317">
        <v>41041.516000000003</v>
      </c>
      <c r="E41" s="316">
        <v>69334.396999999997</v>
      </c>
      <c r="F41" s="317">
        <v>63657.85</v>
      </c>
      <c r="G41" s="316">
        <v>41777.949000000001</v>
      </c>
    </row>
    <row r="42" spans="1:7" s="579" customFormat="1" ht="15" customHeight="1">
      <c r="A42" s="593">
        <v>344</v>
      </c>
      <c r="B42" s="587"/>
      <c r="C42" s="585" t="s">
        <v>198</v>
      </c>
      <c r="D42" s="317">
        <v>71674.805999999997</v>
      </c>
      <c r="E42" s="316">
        <v>202</v>
      </c>
      <c r="F42" s="317">
        <v>80924.145000000004</v>
      </c>
      <c r="G42" s="316">
        <v>136.9</v>
      </c>
    </row>
    <row r="43" spans="1:7" s="579" customFormat="1" ht="15" customHeight="1">
      <c r="A43" s="593">
        <v>349</v>
      </c>
      <c r="B43" s="587"/>
      <c r="C43" s="585" t="s">
        <v>203</v>
      </c>
      <c r="D43" s="317">
        <v>26.715</v>
      </c>
      <c r="E43" s="316">
        <v>1.5</v>
      </c>
      <c r="F43" s="317">
        <v>13.114000000000001</v>
      </c>
      <c r="G43" s="316">
        <v>1.3</v>
      </c>
    </row>
    <row r="44" spans="1:7" s="480" customFormat="1" ht="15" customHeight="1">
      <c r="A44" s="591">
        <v>440</v>
      </c>
      <c r="B44" s="587"/>
      <c r="C44" s="585" t="s">
        <v>202</v>
      </c>
      <c r="D44" s="362">
        <v>20158.495999999999</v>
      </c>
      <c r="E44" s="316">
        <v>19331.623</v>
      </c>
      <c r="F44" s="362">
        <v>23936.37</v>
      </c>
      <c r="G44" s="316">
        <v>19511.044000000002</v>
      </c>
    </row>
    <row r="45" spans="1:7" s="480" customFormat="1" ht="15" customHeight="1">
      <c r="A45" s="591">
        <v>441</v>
      </c>
      <c r="B45" s="587"/>
      <c r="C45" s="585" t="s">
        <v>201</v>
      </c>
      <c r="D45" s="362">
        <v>2208.61</v>
      </c>
      <c r="E45" s="316">
        <v>7.5</v>
      </c>
      <c r="F45" s="362">
        <v>2422.7660000000001</v>
      </c>
      <c r="G45" s="316">
        <v>5.3</v>
      </c>
    </row>
    <row r="46" spans="1:7" s="480" customFormat="1" ht="15" customHeight="1">
      <c r="A46" s="591">
        <v>442</v>
      </c>
      <c r="B46" s="587"/>
      <c r="C46" s="585" t="s">
        <v>200</v>
      </c>
      <c r="D46" s="317">
        <v>6155.1589999999997</v>
      </c>
      <c r="E46" s="361">
        <v>5619.0879999999997</v>
      </c>
      <c r="F46" s="317">
        <v>1565.0509999999999</v>
      </c>
      <c r="G46" s="361">
        <v>3868.8440000000001</v>
      </c>
    </row>
    <row r="47" spans="1:7" s="480" customFormat="1" ht="15" customHeight="1">
      <c r="A47" s="591">
        <v>443</v>
      </c>
      <c r="B47" s="587"/>
      <c r="C47" s="585" t="s">
        <v>199</v>
      </c>
      <c r="D47" s="362">
        <v>133093.02900000001</v>
      </c>
      <c r="E47" s="316">
        <v>148202.43400000001</v>
      </c>
      <c r="F47" s="362">
        <v>140121.712</v>
      </c>
      <c r="G47" s="316">
        <v>137618.541</v>
      </c>
    </row>
    <row r="48" spans="1:7" s="480" customFormat="1" ht="15" customHeight="1">
      <c r="A48" s="591">
        <v>444</v>
      </c>
      <c r="B48" s="587"/>
      <c r="C48" s="585" t="s">
        <v>198</v>
      </c>
      <c r="D48" s="362">
        <v>90605.031000000003</v>
      </c>
      <c r="E48" s="316">
        <v>0</v>
      </c>
      <c r="F48" s="362">
        <v>120675.819</v>
      </c>
      <c r="G48" s="316">
        <v>0</v>
      </c>
    </row>
    <row r="49" spans="1:7" s="480" customFormat="1" ht="15" customHeight="1">
      <c r="A49" s="591">
        <v>445</v>
      </c>
      <c r="B49" s="587"/>
      <c r="C49" s="585" t="s">
        <v>197</v>
      </c>
      <c r="D49" s="362">
        <v>23586.162</v>
      </c>
      <c r="E49" s="316">
        <v>22008.462</v>
      </c>
      <c r="F49" s="362">
        <v>25731.244999999999</v>
      </c>
      <c r="G49" s="316">
        <v>22152.095000000001</v>
      </c>
    </row>
    <row r="50" spans="1:7" s="480" customFormat="1" ht="15" customHeight="1">
      <c r="A50" s="591">
        <v>446</v>
      </c>
      <c r="B50" s="587"/>
      <c r="C50" s="585" t="s">
        <v>196</v>
      </c>
      <c r="D50" s="362">
        <v>103693.337</v>
      </c>
      <c r="E50" s="316">
        <v>103408.25</v>
      </c>
      <c r="F50" s="362">
        <v>75552.221999999994</v>
      </c>
      <c r="G50" s="316">
        <v>105858.27</v>
      </c>
    </row>
    <row r="51" spans="1:7" s="480" customFormat="1" ht="15" customHeight="1">
      <c r="A51" s="591">
        <v>447</v>
      </c>
      <c r="B51" s="587"/>
      <c r="C51" s="585" t="s">
        <v>195</v>
      </c>
      <c r="D51" s="362">
        <v>5129.076</v>
      </c>
      <c r="E51" s="316">
        <v>4981.7969999999996</v>
      </c>
      <c r="F51" s="362">
        <v>5152.1629999999996</v>
      </c>
      <c r="G51" s="316">
        <v>5190.6390000000001</v>
      </c>
    </row>
    <row r="52" spans="1:7" s="480" customFormat="1" ht="15" customHeight="1">
      <c r="A52" s="591">
        <v>448</v>
      </c>
      <c r="B52" s="587"/>
      <c r="C52" s="585" t="s">
        <v>194</v>
      </c>
      <c r="D52" s="362">
        <v>0</v>
      </c>
      <c r="E52" s="316">
        <v>0</v>
      </c>
      <c r="F52" s="362">
        <v>0</v>
      </c>
      <c r="G52" s="316">
        <v>0</v>
      </c>
    </row>
    <row r="53" spans="1:7" s="480" customFormat="1" ht="15" customHeight="1">
      <c r="A53" s="591">
        <v>449</v>
      </c>
      <c r="B53" s="587"/>
      <c r="C53" s="585" t="s">
        <v>193</v>
      </c>
      <c r="D53" s="362">
        <v>310.51299999999998</v>
      </c>
      <c r="E53" s="316">
        <v>5.5</v>
      </c>
      <c r="F53" s="362">
        <v>50.186999999999998</v>
      </c>
      <c r="G53" s="316">
        <v>5.3</v>
      </c>
    </row>
    <row r="54" spans="1:7" s="579" customFormat="1" ht="13.5" customHeight="1">
      <c r="A54" s="607" t="s">
        <v>192</v>
      </c>
      <c r="B54" s="580"/>
      <c r="C54" s="580" t="s">
        <v>191</v>
      </c>
      <c r="D54" s="418">
        <v>0</v>
      </c>
      <c r="E54" s="299">
        <v>0</v>
      </c>
      <c r="F54" s="418">
        <v>0</v>
      </c>
      <c r="G54" s="299">
        <v>0</v>
      </c>
    </row>
    <row r="55" spans="1:7" ht="15" customHeight="1">
      <c r="A55" s="606"/>
      <c r="B55" s="606"/>
      <c r="C55" s="576" t="s">
        <v>55</v>
      </c>
      <c r="D55" s="380">
        <f>SUM(D44:D53)-SUM(D38:D43)</f>
        <v>208827.43700000001</v>
      </c>
      <c r="E55" s="380">
        <f>SUM(E44:E53)-SUM(E38:E43)</f>
        <v>167763.15400000004</v>
      </c>
      <c r="F55" s="380">
        <f>SUM(F44:F53)-SUM(F38:F43)</f>
        <v>195665.09499999997</v>
      </c>
      <c r="G55" s="380">
        <f>SUM(G44:G53)-SUM(G38:G43)</f>
        <v>201403.50099999999</v>
      </c>
    </row>
    <row r="56" spans="1:7" ht="14.25" customHeight="1">
      <c r="A56" s="606"/>
      <c r="B56" s="606"/>
      <c r="C56" s="576" t="s">
        <v>190</v>
      </c>
      <c r="D56" s="380">
        <f>D55+D37</f>
        <v>85389.603000000672</v>
      </c>
      <c r="E56" s="380">
        <f>E55+E37</f>
        <v>2229.8059999998077</v>
      </c>
      <c r="F56" s="380">
        <f>F55+F37</f>
        <v>179308.78400000022</v>
      </c>
      <c r="G56" s="380">
        <f>G55+G37</f>
        <v>37407.128000000317</v>
      </c>
    </row>
    <row r="57" spans="1:7" s="480" customFormat="1" ht="15.75" customHeight="1">
      <c r="A57" s="755">
        <v>380</v>
      </c>
      <c r="B57" s="754"/>
      <c r="C57" s="632" t="s">
        <v>189</v>
      </c>
      <c r="D57" s="411">
        <v>0</v>
      </c>
      <c r="E57" s="572">
        <v>0</v>
      </c>
      <c r="F57" s="411">
        <v>0</v>
      </c>
      <c r="G57" s="572">
        <v>0</v>
      </c>
    </row>
    <row r="58" spans="1:7" s="480" customFormat="1" ht="15.75" customHeight="1">
      <c r="A58" s="605">
        <v>381</v>
      </c>
      <c r="B58" s="604"/>
      <c r="C58" s="603" t="s">
        <v>188</v>
      </c>
      <c r="D58" s="602"/>
      <c r="E58" s="601"/>
      <c r="F58" s="602">
        <v>0</v>
      </c>
      <c r="G58" s="601"/>
    </row>
    <row r="59" spans="1:7" s="480" customFormat="1" ht="15.75" customHeight="1">
      <c r="A59" s="605">
        <v>383</v>
      </c>
      <c r="B59" s="604"/>
      <c r="C59" s="589" t="s">
        <v>187</v>
      </c>
      <c r="D59" s="602"/>
      <c r="E59" s="601"/>
      <c r="F59" s="602">
        <v>0</v>
      </c>
      <c r="G59" s="601"/>
    </row>
    <row r="60" spans="1:7" s="579" customFormat="1">
      <c r="A60" s="597">
        <v>3840</v>
      </c>
      <c r="B60" s="596"/>
      <c r="C60" s="589" t="s">
        <v>186</v>
      </c>
      <c r="D60" s="409">
        <v>0</v>
      </c>
      <c r="E60" s="342">
        <v>0</v>
      </c>
      <c r="F60" s="409">
        <v>0</v>
      </c>
      <c r="G60" s="342">
        <v>0</v>
      </c>
    </row>
    <row r="61" spans="1:7" s="579" customFormat="1">
      <c r="A61" s="597">
        <v>3841</v>
      </c>
      <c r="B61" s="596"/>
      <c r="C61" s="589" t="s">
        <v>185</v>
      </c>
      <c r="D61" s="401"/>
      <c r="E61" s="400"/>
      <c r="F61" s="401">
        <v>0</v>
      </c>
      <c r="G61" s="400"/>
    </row>
    <row r="62" spans="1:7" s="579" customFormat="1">
      <c r="A62" s="597">
        <v>386</v>
      </c>
      <c r="B62" s="596"/>
      <c r="C62" s="598" t="s">
        <v>184</v>
      </c>
      <c r="D62" s="401"/>
      <c r="E62" s="400"/>
      <c r="F62" s="401">
        <v>0</v>
      </c>
      <c r="G62" s="400"/>
    </row>
    <row r="63" spans="1:7" s="579" customFormat="1" ht="25.5">
      <c r="A63" s="600">
        <v>387</v>
      </c>
      <c r="B63" s="599"/>
      <c r="C63" s="589" t="s">
        <v>183</v>
      </c>
      <c r="D63" s="401"/>
      <c r="E63" s="400"/>
      <c r="F63" s="401">
        <v>0</v>
      </c>
      <c r="G63" s="400"/>
    </row>
    <row r="64" spans="1:7" s="579" customFormat="1">
      <c r="A64" s="597">
        <v>389</v>
      </c>
      <c r="B64" s="596"/>
      <c r="C64" s="585" t="s">
        <v>182</v>
      </c>
      <c r="D64" s="401">
        <v>0</v>
      </c>
      <c r="E64" s="400">
        <v>0</v>
      </c>
      <c r="F64" s="401">
        <v>0</v>
      </c>
      <c r="G64" s="400">
        <v>0</v>
      </c>
    </row>
    <row r="65" spans="1:7" s="480" customFormat="1">
      <c r="A65" s="593" t="s">
        <v>181</v>
      </c>
      <c r="B65" s="587"/>
      <c r="C65" s="585" t="s">
        <v>180</v>
      </c>
      <c r="D65" s="317"/>
      <c r="E65" s="316"/>
      <c r="F65" s="317">
        <v>0</v>
      </c>
      <c r="G65" s="316"/>
    </row>
    <row r="66" spans="1:7" s="588" customFormat="1">
      <c r="A66" s="666" t="s">
        <v>179</v>
      </c>
      <c r="B66" s="590"/>
      <c r="C66" s="589" t="s">
        <v>178</v>
      </c>
      <c r="D66" s="343"/>
      <c r="E66" s="342"/>
      <c r="F66" s="343">
        <v>0</v>
      </c>
      <c r="G66" s="342"/>
    </row>
    <row r="67" spans="1:7" s="480" customFormat="1">
      <c r="A67" s="584">
        <v>481</v>
      </c>
      <c r="B67" s="587"/>
      <c r="C67" s="585" t="s">
        <v>177</v>
      </c>
      <c r="D67" s="317"/>
      <c r="E67" s="316"/>
      <c r="F67" s="317">
        <v>0</v>
      </c>
      <c r="G67" s="316"/>
    </row>
    <row r="68" spans="1:7" s="480" customFormat="1">
      <c r="A68" s="584">
        <v>482</v>
      </c>
      <c r="B68" s="587"/>
      <c r="C68" s="585" t="s">
        <v>176</v>
      </c>
      <c r="D68" s="317"/>
      <c r="E68" s="316"/>
      <c r="F68" s="317">
        <v>0</v>
      </c>
      <c r="G68" s="316"/>
    </row>
    <row r="69" spans="1:7" s="480" customFormat="1">
      <c r="A69" s="584">
        <v>483</v>
      </c>
      <c r="B69" s="587"/>
      <c r="C69" s="585" t="s">
        <v>175</v>
      </c>
      <c r="D69" s="317"/>
      <c r="E69" s="316"/>
      <c r="F69" s="317">
        <v>0</v>
      </c>
      <c r="G69" s="316"/>
    </row>
    <row r="70" spans="1:7" s="480" customFormat="1">
      <c r="A70" s="584">
        <v>484</v>
      </c>
      <c r="B70" s="587"/>
      <c r="C70" s="585" t="s">
        <v>174</v>
      </c>
      <c r="D70" s="317"/>
      <c r="E70" s="316"/>
      <c r="F70" s="317">
        <v>0</v>
      </c>
      <c r="G70" s="316"/>
    </row>
    <row r="71" spans="1:7" s="480" customFormat="1">
      <c r="A71" s="584">
        <v>485</v>
      </c>
      <c r="B71" s="587"/>
      <c r="C71" s="585" t="s">
        <v>173</v>
      </c>
      <c r="D71" s="317"/>
      <c r="E71" s="316"/>
      <c r="F71" s="317">
        <v>0</v>
      </c>
      <c r="G71" s="316"/>
    </row>
    <row r="72" spans="1:7" s="480" customFormat="1">
      <c r="A72" s="584">
        <v>486</v>
      </c>
      <c r="B72" s="587"/>
      <c r="C72" s="585" t="s">
        <v>172</v>
      </c>
      <c r="D72" s="317"/>
      <c r="E72" s="316"/>
      <c r="F72" s="317">
        <v>0</v>
      </c>
      <c r="G72" s="316"/>
    </row>
    <row r="73" spans="1:7" s="579" customFormat="1">
      <c r="A73" s="584">
        <v>487</v>
      </c>
      <c r="B73" s="586"/>
      <c r="C73" s="585" t="s">
        <v>171</v>
      </c>
      <c r="D73" s="362">
        <v>0</v>
      </c>
      <c r="E73" s="316">
        <v>0</v>
      </c>
      <c r="F73" s="362">
        <v>0</v>
      </c>
      <c r="G73" s="316">
        <v>0</v>
      </c>
    </row>
    <row r="74" spans="1:7" s="579" customFormat="1">
      <c r="A74" s="584">
        <v>489</v>
      </c>
      <c r="B74" s="581"/>
      <c r="C74" s="583" t="s">
        <v>170</v>
      </c>
      <c r="D74" s="362">
        <v>0</v>
      </c>
      <c r="E74" s="316">
        <v>0</v>
      </c>
      <c r="F74" s="362">
        <v>0</v>
      </c>
      <c r="G74" s="316">
        <v>0</v>
      </c>
    </row>
    <row r="75" spans="1:7" s="579" customFormat="1">
      <c r="A75" s="582" t="s">
        <v>169</v>
      </c>
      <c r="B75" s="581"/>
      <c r="C75" s="580" t="s">
        <v>168</v>
      </c>
      <c r="D75" s="317"/>
      <c r="E75" s="316"/>
      <c r="F75" s="317">
        <v>0</v>
      </c>
      <c r="G75" s="316"/>
    </row>
    <row r="76" spans="1:7">
      <c r="A76" s="578"/>
      <c r="B76" s="578"/>
      <c r="C76" s="576" t="s">
        <v>167</v>
      </c>
      <c r="D76" s="380">
        <f>SUM(D65:D74)-SUM(D57:D64)</f>
        <v>0</v>
      </c>
      <c r="E76" s="380">
        <f>SUM(E65:E74)-SUM(E57:E64)</f>
        <v>0</v>
      </c>
      <c r="F76" s="380">
        <f>SUM(F65:F74)-SUM(F57:F64)</f>
        <v>0</v>
      </c>
      <c r="G76" s="380">
        <f>SUM(G65:G74)-SUM(G57:G64)</f>
        <v>0</v>
      </c>
    </row>
    <row r="77" spans="1:7">
      <c r="A77" s="577"/>
      <c r="B77" s="577"/>
      <c r="C77" s="576" t="s">
        <v>166</v>
      </c>
      <c r="D77" s="380">
        <f>D56+D76</f>
        <v>85389.603000000672</v>
      </c>
      <c r="E77" s="380">
        <f>E56+E76</f>
        <v>2229.8059999998077</v>
      </c>
      <c r="F77" s="380">
        <f>F56+F76</f>
        <v>179308.78400000022</v>
      </c>
      <c r="G77" s="380">
        <f>G56+G76</f>
        <v>37407.128000000317</v>
      </c>
    </row>
    <row r="78" spans="1:7">
      <c r="A78" s="575">
        <v>3</v>
      </c>
      <c r="B78" s="575"/>
      <c r="C78" s="574" t="s">
        <v>165</v>
      </c>
      <c r="D78" s="377">
        <f>D20+D21+SUM(D38:D43)+SUM(D57:D64)</f>
        <v>4020783.3529999997</v>
      </c>
      <c r="E78" s="377">
        <f>E20+E21+SUM(E38:E43)+SUM(E57:E64)</f>
        <v>3976805.3670000001</v>
      </c>
      <c r="F78" s="377">
        <f>F20+F21+SUM(F38:F43)+SUM(F57:F64)</f>
        <v>4193362.1570000001</v>
      </c>
      <c r="G78" s="377">
        <f>G20+G21+SUM(G38:G43)+SUM(G57:G64)</f>
        <v>4122187.3309999998</v>
      </c>
    </row>
    <row r="79" spans="1:7">
      <c r="A79" s="575">
        <v>4</v>
      </c>
      <c r="B79" s="575"/>
      <c r="C79" s="574" t="s">
        <v>164</v>
      </c>
      <c r="D79" s="377">
        <f>D35+D36+SUM(D44:D53)+SUM(D65:D74)</f>
        <v>4106172.9560000007</v>
      </c>
      <c r="E79" s="377">
        <f>E35+E36+SUM(E44:E53)+SUM(E65:E74)</f>
        <v>3979035.173</v>
      </c>
      <c r="F79" s="377">
        <f>F35+F36+SUM(F44:F53)+SUM(F65:F74)</f>
        <v>4372670.9410000006</v>
      </c>
      <c r="G79" s="377">
        <f>G35+G36+SUM(G44:G53)+SUM(G65:G74)</f>
        <v>4159594.4589999998</v>
      </c>
    </row>
    <row r="80" spans="1:7">
      <c r="A80" s="534"/>
      <c r="B80" s="534"/>
      <c r="C80" s="533"/>
      <c r="D80" s="260"/>
      <c r="E80" s="260"/>
      <c r="F80" s="260"/>
      <c r="G80" s="260"/>
    </row>
    <row r="81" spans="1:7">
      <c r="A81" s="951" t="s">
        <v>163</v>
      </c>
      <c r="B81" s="952"/>
      <c r="C81" s="952"/>
      <c r="D81" s="376"/>
      <c r="E81" s="375"/>
      <c r="F81" s="376"/>
      <c r="G81" s="375"/>
    </row>
    <row r="82" spans="1:7" s="480" customFormat="1">
      <c r="A82" s="567">
        <v>50</v>
      </c>
      <c r="B82" s="565"/>
      <c r="C82" s="565" t="s">
        <v>162</v>
      </c>
      <c r="D82" s="317">
        <v>269657.19400000002</v>
      </c>
      <c r="E82" s="316">
        <v>359344.5</v>
      </c>
      <c r="F82" s="317">
        <v>325094.99599999998</v>
      </c>
      <c r="G82" s="316">
        <v>472377.76</v>
      </c>
    </row>
    <row r="83" spans="1:7" s="480" customFormat="1">
      <c r="A83" s="567">
        <v>51</v>
      </c>
      <c r="B83" s="565"/>
      <c r="C83" s="565" t="s">
        <v>161</v>
      </c>
      <c r="D83" s="317">
        <v>0</v>
      </c>
      <c r="E83" s="316">
        <v>0</v>
      </c>
      <c r="F83" s="317">
        <v>0</v>
      </c>
      <c r="G83" s="316">
        <v>0</v>
      </c>
    </row>
    <row r="84" spans="1:7" s="480" customFormat="1">
      <c r="A84" s="567">
        <v>52</v>
      </c>
      <c r="B84" s="565"/>
      <c r="C84" s="565" t="s">
        <v>160</v>
      </c>
      <c r="D84" s="317">
        <v>1621.048</v>
      </c>
      <c r="E84" s="316">
        <v>260</v>
      </c>
      <c r="F84" s="317">
        <v>5056.6270000000004</v>
      </c>
      <c r="G84" s="316">
        <v>100</v>
      </c>
    </row>
    <row r="85" spans="1:7" s="480" customFormat="1">
      <c r="A85" s="571">
        <v>54</v>
      </c>
      <c r="B85" s="570"/>
      <c r="C85" s="570" t="s">
        <v>117</v>
      </c>
      <c r="D85" s="317">
        <f>72616.335+21377+30683+11065.762</f>
        <v>135742.09700000001</v>
      </c>
      <c r="E85" s="316">
        <v>27200</v>
      </c>
      <c r="F85" s="317">
        <v>13408.117</v>
      </c>
      <c r="G85" s="316">
        <v>88000</v>
      </c>
    </row>
    <row r="86" spans="1:7" s="480" customFormat="1">
      <c r="A86" s="571">
        <v>55</v>
      </c>
      <c r="B86" s="570"/>
      <c r="C86" s="570" t="s">
        <v>159</v>
      </c>
      <c r="D86" s="317">
        <f>31007+18973.848</f>
        <v>49980.847999999998</v>
      </c>
      <c r="E86" s="316">
        <v>0</v>
      </c>
      <c r="F86" s="317">
        <v>0</v>
      </c>
      <c r="G86" s="316">
        <v>0</v>
      </c>
    </row>
    <row r="87" spans="1:7" s="480" customFormat="1">
      <c r="A87" s="571">
        <v>56</v>
      </c>
      <c r="B87" s="570"/>
      <c r="C87" s="570" t="s">
        <v>158</v>
      </c>
      <c r="D87" s="317">
        <v>20367.885999999999</v>
      </c>
      <c r="E87" s="316">
        <v>0</v>
      </c>
      <c r="F87" s="317">
        <v>23932.339</v>
      </c>
      <c r="G87" s="316">
        <v>0</v>
      </c>
    </row>
    <row r="88" spans="1:7" s="480" customFormat="1">
      <c r="A88" s="567">
        <v>57</v>
      </c>
      <c r="B88" s="565"/>
      <c r="C88" s="565" t="s">
        <v>143</v>
      </c>
      <c r="D88" s="317"/>
      <c r="E88" s="316"/>
      <c r="F88" s="317">
        <v>0</v>
      </c>
      <c r="G88" s="316">
        <v>0</v>
      </c>
    </row>
    <row r="89" spans="1:7" s="480" customFormat="1">
      <c r="A89" s="567">
        <v>580</v>
      </c>
      <c r="B89" s="565"/>
      <c r="C89" s="565" t="s">
        <v>157</v>
      </c>
      <c r="D89" s="317"/>
      <c r="E89" s="316"/>
      <c r="F89" s="317">
        <v>0</v>
      </c>
      <c r="G89" s="316">
        <v>0</v>
      </c>
    </row>
    <row r="90" spans="1:7" s="480" customFormat="1">
      <c r="A90" s="567">
        <v>582</v>
      </c>
      <c r="B90" s="565"/>
      <c r="C90" s="565" t="s">
        <v>156</v>
      </c>
      <c r="D90" s="317"/>
      <c r="E90" s="316"/>
      <c r="F90" s="317">
        <v>0</v>
      </c>
      <c r="G90" s="316">
        <v>0</v>
      </c>
    </row>
    <row r="91" spans="1:7" s="480" customFormat="1">
      <c r="A91" s="567">
        <v>584</v>
      </c>
      <c r="B91" s="565"/>
      <c r="C91" s="565" t="s">
        <v>155</v>
      </c>
      <c r="D91" s="317"/>
      <c r="E91" s="316"/>
      <c r="F91" s="317">
        <v>0</v>
      </c>
      <c r="G91" s="316">
        <v>0</v>
      </c>
    </row>
    <row r="92" spans="1:7" s="480" customFormat="1">
      <c r="A92" s="567">
        <v>585</v>
      </c>
      <c r="B92" s="565"/>
      <c r="C92" s="565" t="s">
        <v>154</v>
      </c>
      <c r="D92" s="317"/>
      <c r="E92" s="316"/>
      <c r="F92" s="317">
        <v>0</v>
      </c>
      <c r="G92" s="316">
        <v>0</v>
      </c>
    </row>
    <row r="93" spans="1:7" s="480" customFormat="1">
      <c r="A93" s="567">
        <v>586</v>
      </c>
      <c r="B93" s="565"/>
      <c r="C93" s="565" t="s">
        <v>153</v>
      </c>
      <c r="D93" s="317"/>
      <c r="E93" s="316"/>
      <c r="F93" s="317">
        <v>0</v>
      </c>
      <c r="G93" s="316">
        <v>0</v>
      </c>
    </row>
    <row r="94" spans="1:7" s="480" customFormat="1">
      <c r="A94" s="568">
        <v>589</v>
      </c>
      <c r="B94" s="561"/>
      <c r="C94" s="561" t="s">
        <v>152</v>
      </c>
      <c r="D94" s="333"/>
      <c r="E94" s="372"/>
      <c r="F94" s="333">
        <v>0</v>
      </c>
      <c r="G94" s="372">
        <v>0</v>
      </c>
    </row>
    <row r="95" spans="1:7">
      <c r="A95" s="557">
        <v>5</v>
      </c>
      <c r="B95" s="555"/>
      <c r="C95" s="555" t="s">
        <v>151</v>
      </c>
      <c r="D95" s="348">
        <f>SUM(D82:D94)</f>
        <v>477369.07300000003</v>
      </c>
      <c r="E95" s="348">
        <f>SUM(E82:E94)</f>
        <v>386804.5</v>
      </c>
      <c r="F95" s="348">
        <f>SUM(F82:F94)</f>
        <v>367492.07899999997</v>
      </c>
      <c r="G95" s="348">
        <f>SUM(G82:G94)</f>
        <v>560477.76</v>
      </c>
    </row>
    <row r="96" spans="1:7" s="480" customFormat="1">
      <c r="A96" s="567">
        <v>60</v>
      </c>
      <c r="B96" s="565"/>
      <c r="C96" s="565" t="s">
        <v>150</v>
      </c>
      <c r="D96" s="317">
        <f>7642.48+81913.894+11065.762+6721.859+5400</f>
        <v>112743.995</v>
      </c>
      <c r="E96" s="316">
        <v>0</v>
      </c>
      <c r="F96" s="317">
        <v>1670.663</v>
      </c>
      <c r="G96" s="316">
        <v>6717.1930000000002</v>
      </c>
    </row>
    <row r="97" spans="1:7" s="480" customFormat="1">
      <c r="A97" s="567">
        <v>61</v>
      </c>
      <c r="B97" s="565"/>
      <c r="C97" s="565" t="s">
        <v>149</v>
      </c>
      <c r="D97" s="317"/>
      <c r="E97" s="316"/>
      <c r="F97" s="317">
        <v>0</v>
      </c>
      <c r="G97" s="316"/>
    </row>
    <row r="98" spans="1:7" s="480" customFormat="1">
      <c r="A98" s="567">
        <v>62</v>
      </c>
      <c r="B98" s="565"/>
      <c r="C98" s="565" t="s">
        <v>148</v>
      </c>
      <c r="D98" s="317"/>
      <c r="E98" s="316"/>
      <c r="F98" s="317">
        <v>0</v>
      </c>
      <c r="G98" s="316"/>
    </row>
    <row r="99" spans="1:7" s="480" customFormat="1">
      <c r="A99" s="567">
        <v>63</v>
      </c>
      <c r="B99" s="565"/>
      <c r="C99" s="565" t="s">
        <v>147</v>
      </c>
      <c r="D99" s="317">
        <v>22367.82</v>
      </c>
      <c r="E99" s="316">
        <v>11000</v>
      </c>
      <c r="F99" s="317">
        <v>36941.65</v>
      </c>
      <c r="G99" s="316">
        <v>20000</v>
      </c>
    </row>
    <row r="100" spans="1:7" s="480" customFormat="1">
      <c r="A100" s="571">
        <v>64</v>
      </c>
      <c r="B100" s="570"/>
      <c r="C100" s="570" t="s">
        <v>146</v>
      </c>
      <c r="D100" s="317">
        <v>94700</v>
      </c>
      <c r="E100" s="316">
        <v>0</v>
      </c>
      <c r="F100" s="317">
        <v>58540.52</v>
      </c>
      <c r="G100" s="316">
        <v>57690</v>
      </c>
    </row>
    <row r="101" spans="1:7" s="480" customFormat="1">
      <c r="A101" s="571">
        <v>65</v>
      </c>
      <c r="B101" s="570"/>
      <c r="C101" s="570" t="s">
        <v>145</v>
      </c>
      <c r="D101" s="317"/>
      <c r="E101" s="316"/>
      <c r="F101" s="317">
        <v>0</v>
      </c>
      <c r="G101" s="316"/>
    </row>
    <row r="102" spans="1:7" s="480" customFormat="1">
      <c r="A102" s="571">
        <v>66</v>
      </c>
      <c r="B102" s="570"/>
      <c r="C102" s="570" t="s">
        <v>144</v>
      </c>
      <c r="D102" s="317"/>
      <c r="E102" s="316"/>
      <c r="F102" s="317">
        <v>0</v>
      </c>
      <c r="G102" s="316"/>
    </row>
    <row r="103" spans="1:7" s="480" customFormat="1">
      <c r="A103" s="567">
        <v>67</v>
      </c>
      <c r="B103" s="565"/>
      <c r="C103" s="565" t="s">
        <v>143</v>
      </c>
      <c r="D103" s="362"/>
      <c r="E103" s="361"/>
      <c r="F103" s="362">
        <v>0</v>
      </c>
      <c r="G103" s="361"/>
    </row>
    <row r="104" spans="1:7" s="480" customFormat="1" ht="25.5">
      <c r="A104" s="566" t="s">
        <v>142</v>
      </c>
      <c r="B104" s="565"/>
      <c r="C104" s="564" t="s">
        <v>141</v>
      </c>
      <c r="D104" s="362"/>
      <c r="E104" s="361"/>
      <c r="F104" s="362">
        <v>0</v>
      </c>
      <c r="G104" s="361"/>
    </row>
    <row r="105" spans="1:7" s="480" customFormat="1" ht="38.25">
      <c r="A105" s="562" t="s">
        <v>140</v>
      </c>
      <c r="B105" s="561"/>
      <c r="C105" s="560" t="s">
        <v>139</v>
      </c>
      <c r="D105" s="355"/>
      <c r="E105" s="354"/>
      <c r="F105" s="355">
        <v>0</v>
      </c>
      <c r="G105" s="354"/>
    </row>
    <row r="106" spans="1:7">
      <c r="A106" s="557">
        <v>6</v>
      </c>
      <c r="B106" s="555"/>
      <c r="C106" s="555" t="s">
        <v>138</v>
      </c>
      <c r="D106" s="348">
        <f>SUM(D96:D105)</f>
        <v>229811.815</v>
      </c>
      <c r="E106" s="348">
        <f>SUM(E96:E105)</f>
        <v>11000</v>
      </c>
      <c r="F106" s="348">
        <f>SUM(F96:F105)</f>
        <v>97152.832999999999</v>
      </c>
      <c r="G106" s="348">
        <f>SUM(G96:G105)</f>
        <v>84407.192999999999</v>
      </c>
    </row>
    <row r="107" spans="1:7">
      <c r="A107" s="556" t="s">
        <v>137</v>
      </c>
      <c r="B107" s="556"/>
      <c r="C107" s="555" t="s">
        <v>3</v>
      </c>
      <c r="D107" s="348">
        <f>(D95-D88)-(D106-D103)</f>
        <v>247557.25800000003</v>
      </c>
      <c r="E107" s="348">
        <f>(E95-E88)-(E106-E103)</f>
        <v>375804.5</v>
      </c>
      <c r="F107" s="348">
        <f>(F95-F88)-(F106-F103)</f>
        <v>270339.24599999998</v>
      </c>
      <c r="G107" s="348">
        <f>(G95-G88)-(G106-G103)</f>
        <v>476070.56700000004</v>
      </c>
    </row>
    <row r="108" spans="1:7">
      <c r="A108" s="554" t="s">
        <v>136</v>
      </c>
      <c r="B108" s="554"/>
      <c r="C108" s="553" t="s">
        <v>135</v>
      </c>
      <c r="D108" s="552">
        <f>D107-D85-D86+D100+D101</f>
        <v>156534.31300000002</v>
      </c>
      <c r="E108" s="552">
        <f>E107-E85-E86+E100+E101</f>
        <v>348604.5</v>
      </c>
      <c r="F108" s="552">
        <f>F107-F85-F86+F100+F101</f>
        <v>315471.64899999998</v>
      </c>
      <c r="G108" s="552">
        <f>G107-G85-G86+G100+G101</f>
        <v>445760.56700000004</v>
      </c>
    </row>
    <row r="109" spans="1:7">
      <c r="A109" s="534"/>
      <c r="B109" s="534"/>
      <c r="C109" s="533"/>
      <c r="D109" s="260"/>
      <c r="E109" s="260"/>
      <c r="F109" s="260"/>
      <c r="G109" s="260"/>
    </row>
    <row r="110" spans="1:7" s="512" customFormat="1">
      <c r="A110" s="550" t="s">
        <v>134</v>
      </c>
      <c r="B110" s="551"/>
      <c r="C110" s="550"/>
      <c r="D110" s="260"/>
      <c r="E110" s="260"/>
      <c r="F110" s="260"/>
      <c r="G110" s="260"/>
    </row>
    <row r="111" spans="1:7" s="516" customFormat="1">
      <c r="A111" s="532">
        <v>10</v>
      </c>
      <c r="B111" s="531"/>
      <c r="C111" s="531" t="s">
        <v>133</v>
      </c>
      <c r="D111" s="327">
        <f>D112+D117</f>
        <v>4833059.4454200007</v>
      </c>
      <c r="E111" s="326">
        <f>E112+E117</f>
        <v>0</v>
      </c>
      <c r="F111" s="327">
        <f>F112+F117</f>
        <v>5104770.1430900004</v>
      </c>
      <c r="G111" s="326">
        <f>G112+G117</f>
        <v>0</v>
      </c>
    </row>
    <row r="112" spans="1:7" s="516" customFormat="1">
      <c r="A112" s="539" t="s">
        <v>132</v>
      </c>
      <c r="B112" s="519"/>
      <c r="C112" s="519" t="s">
        <v>131</v>
      </c>
      <c r="D112" s="327">
        <f>D113+D114+D115+D116</f>
        <v>2825017.4173000003</v>
      </c>
      <c r="E112" s="326">
        <f>E113+E114+E115+E116</f>
        <v>0</v>
      </c>
      <c r="F112" s="327">
        <f>F113+F114+F115+F116</f>
        <v>3150807.0184800001</v>
      </c>
      <c r="G112" s="326">
        <f>G113+G114+G115+G116</f>
        <v>0</v>
      </c>
    </row>
    <row r="113" spans="1:7" s="516" customFormat="1">
      <c r="A113" s="537" t="s">
        <v>130</v>
      </c>
      <c r="B113" s="526"/>
      <c r="C113" s="526" t="s">
        <v>129</v>
      </c>
      <c r="D113" s="317">
        <f>658061.373+343751.34257</f>
        <v>1001812.71557</v>
      </c>
      <c r="E113" s="316"/>
      <c r="F113" s="317">
        <f>904929.19458+338790.54349</f>
        <v>1243719.73807</v>
      </c>
      <c r="G113" s="316"/>
    </row>
    <row r="114" spans="1:7" s="546" customFormat="1" ht="15" customHeight="1">
      <c r="A114" s="524">
        <v>102</v>
      </c>
      <c r="B114" s="665"/>
      <c r="C114" s="665" t="s">
        <v>128</v>
      </c>
      <c r="D114" s="343">
        <v>4239.5620900000004</v>
      </c>
      <c r="E114" s="342"/>
      <c r="F114" s="343">
        <v>147412.22863999999</v>
      </c>
      <c r="G114" s="342"/>
    </row>
    <row r="115" spans="1:7" s="516" customFormat="1">
      <c r="A115" s="537">
        <v>104</v>
      </c>
      <c r="B115" s="526"/>
      <c r="C115" s="526" t="s">
        <v>127</v>
      </c>
      <c r="D115" s="317">
        <v>1812161.1821300001</v>
      </c>
      <c r="E115" s="316"/>
      <c r="F115" s="317">
        <v>1753306.1221100001</v>
      </c>
      <c r="G115" s="316"/>
    </row>
    <row r="116" spans="1:7" s="516" customFormat="1">
      <c r="A116" s="537">
        <v>106</v>
      </c>
      <c r="B116" s="526"/>
      <c r="C116" s="526" t="s">
        <v>126</v>
      </c>
      <c r="D116" s="317">
        <v>6803.9575100000002</v>
      </c>
      <c r="E116" s="316"/>
      <c r="F116" s="317">
        <v>6368.9296599999998</v>
      </c>
      <c r="G116" s="316"/>
    </row>
    <row r="117" spans="1:7" s="516" customFormat="1">
      <c r="A117" s="539" t="s">
        <v>125</v>
      </c>
      <c r="B117" s="519"/>
      <c r="C117" s="519" t="s">
        <v>124</v>
      </c>
      <c r="D117" s="327">
        <f>D118+D119+D120</f>
        <v>2008042.0281199999</v>
      </c>
      <c r="E117" s="326">
        <f>E118+E119+E120</f>
        <v>0</v>
      </c>
      <c r="F117" s="327">
        <f>F118+F119+F120</f>
        <v>1953963.1246100001</v>
      </c>
      <c r="G117" s="326">
        <f>G118+G119+G120</f>
        <v>0</v>
      </c>
    </row>
    <row r="118" spans="1:7" s="516" customFormat="1">
      <c r="A118" s="537">
        <v>107</v>
      </c>
      <c r="B118" s="526"/>
      <c r="C118" s="526" t="s">
        <v>123</v>
      </c>
      <c r="D118" s="317">
        <v>299156.72902999999</v>
      </c>
      <c r="E118" s="316"/>
      <c r="F118" s="317">
        <v>203194.23175000001</v>
      </c>
      <c r="G118" s="316"/>
    </row>
    <row r="119" spans="1:7" s="516" customFormat="1">
      <c r="A119" s="537">
        <v>108</v>
      </c>
      <c r="B119" s="526"/>
      <c r="C119" s="526" t="s">
        <v>122</v>
      </c>
      <c r="D119" s="317">
        <v>1688090.42447</v>
      </c>
      <c r="E119" s="316"/>
      <c r="F119" s="317">
        <v>1750768.89286</v>
      </c>
      <c r="G119" s="316"/>
    </row>
    <row r="120" spans="1:7" s="538" customFormat="1" ht="25.5">
      <c r="A120" s="524">
        <v>109</v>
      </c>
      <c r="B120" s="523"/>
      <c r="C120" s="523" t="s">
        <v>121</v>
      </c>
      <c r="D120" s="311">
        <v>20794.874619999999</v>
      </c>
      <c r="E120" s="310"/>
      <c r="F120" s="311">
        <v>0</v>
      </c>
      <c r="G120" s="310"/>
    </row>
    <row r="121" spans="1:7" s="516" customFormat="1">
      <c r="A121" s="539">
        <v>14</v>
      </c>
      <c r="B121" s="519"/>
      <c r="C121" s="519" t="s">
        <v>120</v>
      </c>
      <c r="D121" s="327">
        <f>SUM(D122:D130)</f>
        <v>5705761.9614000004</v>
      </c>
      <c r="E121" s="327">
        <f>SUM(E122:E130)</f>
        <v>0</v>
      </c>
      <c r="F121" s="327">
        <f>SUM(F122:F130)</f>
        <v>5843011.9665199993</v>
      </c>
      <c r="G121" s="327">
        <f>SUM(G122:G130)</f>
        <v>0</v>
      </c>
    </row>
    <row r="122" spans="1:7" s="516" customFormat="1">
      <c r="A122" s="537" t="s">
        <v>119</v>
      </c>
      <c r="B122" s="526"/>
      <c r="C122" s="526" t="s">
        <v>118</v>
      </c>
      <c r="D122" s="317">
        <f>2752422.84172+12712.97553</f>
        <v>2765135.8172499998</v>
      </c>
      <c r="E122" s="316"/>
      <c r="F122" s="317">
        <f>2867193.6191+13579.26986</f>
        <v>2880772.8889599997</v>
      </c>
      <c r="G122" s="316"/>
    </row>
    <row r="123" spans="1:7" s="516" customFormat="1">
      <c r="A123" s="537">
        <v>144</v>
      </c>
      <c r="B123" s="526"/>
      <c r="C123" s="526" t="s">
        <v>117</v>
      </c>
      <c r="D123" s="317">
        <v>899484.88248999999</v>
      </c>
      <c r="E123" s="316"/>
      <c r="F123" s="317">
        <v>892565.52888</v>
      </c>
      <c r="G123" s="316"/>
    </row>
    <row r="124" spans="1:7" s="516" customFormat="1">
      <c r="A124" s="537">
        <v>145</v>
      </c>
      <c r="B124" s="526"/>
      <c r="C124" s="526" t="s">
        <v>116</v>
      </c>
      <c r="D124" s="317">
        <v>1906962.52642</v>
      </c>
      <c r="E124" s="304"/>
      <c r="F124" s="317">
        <v>1927637.74397</v>
      </c>
      <c r="G124" s="304"/>
    </row>
    <row r="125" spans="1:7" s="516" customFormat="1">
      <c r="A125" s="537">
        <v>146</v>
      </c>
      <c r="B125" s="526"/>
      <c r="C125" s="526" t="s">
        <v>115</v>
      </c>
      <c r="D125" s="317">
        <v>134178.73524000001</v>
      </c>
      <c r="E125" s="304"/>
      <c r="F125" s="317">
        <v>142035.80471</v>
      </c>
      <c r="G125" s="304"/>
    </row>
    <row r="126" spans="1:7" s="538" customFormat="1" ht="29.45" customHeight="1">
      <c r="A126" s="524" t="s">
        <v>114</v>
      </c>
      <c r="B126" s="523"/>
      <c r="C126" s="523" t="s">
        <v>113</v>
      </c>
      <c r="D126" s="311">
        <v>0</v>
      </c>
      <c r="E126" s="339"/>
      <c r="F126" s="311">
        <v>0</v>
      </c>
      <c r="G126" s="339"/>
    </row>
    <row r="127" spans="1:7" s="516" customFormat="1">
      <c r="A127" s="537">
        <v>1484</v>
      </c>
      <c r="B127" s="526"/>
      <c r="C127" s="526" t="s">
        <v>112</v>
      </c>
      <c r="D127" s="317">
        <v>0</v>
      </c>
      <c r="E127" s="304"/>
      <c r="F127" s="317">
        <v>0</v>
      </c>
      <c r="G127" s="304"/>
    </row>
    <row r="128" spans="1:7" s="516" customFormat="1">
      <c r="A128" s="537">
        <v>1485</v>
      </c>
      <c r="B128" s="526"/>
      <c r="C128" s="526" t="s">
        <v>111</v>
      </c>
      <c r="D128" s="317">
        <v>0</v>
      </c>
      <c r="E128" s="304"/>
      <c r="F128" s="317">
        <v>0</v>
      </c>
      <c r="G128" s="304"/>
    </row>
    <row r="129" spans="1:7" s="516" customFormat="1">
      <c r="A129" s="537">
        <v>1486</v>
      </c>
      <c r="B129" s="526"/>
      <c r="C129" s="526" t="s">
        <v>110</v>
      </c>
      <c r="D129" s="317">
        <v>0</v>
      </c>
      <c r="E129" s="304"/>
      <c r="F129" s="317">
        <v>0</v>
      </c>
      <c r="G129" s="304"/>
    </row>
    <row r="130" spans="1:7" s="516" customFormat="1">
      <c r="A130" s="536">
        <v>1489</v>
      </c>
      <c r="B130" s="535"/>
      <c r="C130" s="535" t="s">
        <v>109</v>
      </c>
      <c r="D130" s="333">
        <v>0</v>
      </c>
      <c r="E130" s="332"/>
      <c r="F130" s="333">
        <v>0</v>
      </c>
      <c r="G130" s="332"/>
    </row>
    <row r="131" spans="1:7" s="512" customFormat="1">
      <c r="A131" s="515">
        <v>1</v>
      </c>
      <c r="B131" s="514"/>
      <c r="C131" s="515" t="s">
        <v>108</v>
      </c>
      <c r="D131" s="295">
        <f>D111+D121</f>
        <v>10538821.406820001</v>
      </c>
      <c r="E131" s="295">
        <f>E111+E121</f>
        <v>0</v>
      </c>
      <c r="F131" s="295">
        <f>F111+F121</f>
        <v>10947782.109609999</v>
      </c>
      <c r="G131" s="295">
        <f>G111+G121</f>
        <v>0</v>
      </c>
    </row>
    <row r="132" spans="1:7" s="512" customFormat="1">
      <c r="A132" s="534"/>
      <c r="B132" s="534"/>
      <c r="C132" s="533"/>
      <c r="D132" s="260"/>
      <c r="E132" s="260"/>
      <c r="F132" s="260"/>
      <c r="G132" s="260"/>
    </row>
    <row r="133" spans="1:7" s="516" customFormat="1">
      <c r="A133" s="532">
        <v>20</v>
      </c>
      <c r="B133" s="531"/>
      <c r="C133" s="531" t="s">
        <v>107</v>
      </c>
      <c r="D133" s="329">
        <f>D134+D140</f>
        <v>6867275.7917999998</v>
      </c>
      <c r="E133" s="530">
        <f>E134+E140</f>
        <v>0</v>
      </c>
      <c r="F133" s="329">
        <f>F134+F140</f>
        <v>7054691.4689499997</v>
      </c>
      <c r="G133" s="530">
        <f>G134+G140</f>
        <v>0</v>
      </c>
    </row>
    <row r="134" spans="1:7" s="516" customFormat="1">
      <c r="A134" s="520" t="s">
        <v>106</v>
      </c>
      <c r="B134" s="519"/>
      <c r="C134" s="519" t="s">
        <v>105</v>
      </c>
      <c r="D134" s="327">
        <f>D135+D136+D138+D139</f>
        <v>4064386.2070599999</v>
      </c>
      <c r="E134" s="326">
        <f>E135+E136+E138+E139</f>
        <v>0</v>
      </c>
      <c r="F134" s="327">
        <f>F135+F136+F138+F139</f>
        <v>4461642.6378300004</v>
      </c>
      <c r="G134" s="326">
        <f>G135+G136+G138+G139</f>
        <v>0</v>
      </c>
    </row>
    <row r="135" spans="1:7" s="525" customFormat="1">
      <c r="A135" s="527">
        <v>200</v>
      </c>
      <c r="B135" s="526"/>
      <c r="C135" s="526" t="s">
        <v>104</v>
      </c>
      <c r="D135" s="317">
        <v>2746341.7097100001</v>
      </c>
      <c r="E135" s="316"/>
      <c r="F135" s="317">
        <v>2743226.9495999999</v>
      </c>
      <c r="G135" s="316"/>
    </row>
    <row r="136" spans="1:7" s="525" customFormat="1">
      <c r="A136" s="527">
        <v>201</v>
      </c>
      <c r="B136" s="526"/>
      <c r="C136" s="526" t="s">
        <v>103</v>
      </c>
      <c r="D136" s="317">
        <v>1001000</v>
      </c>
      <c r="E136" s="316"/>
      <c r="F136" s="317">
        <v>1408000.0060000001</v>
      </c>
      <c r="G136" s="316"/>
    </row>
    <row r="137" spans="1:7" s="525" customFormat="1">
      <c r="A137" s="529" t="s">
        <v>102</v>
      </c>
      <c r="B137" s="528"/>
      <c r="C137" s="528" t="s">
        <v>101</v>
      </c>
      <c r="D137" s="322">
        <v>0</v>
      </c>
      <c r="E137" s="328"/>
      <c r="F137" s="322">
        <v>0</v>
      </c>
      <c r="G137" s="328"/>
    </row>
    <row r="138" spans="1:7" s="525" customFormat="1">
      <c r="A138" s="527">
        <v>204</v>
      </c>
      <c r="B138" s="526"/>
      <c r="C138" s="526" t="s">
        <v>100</v>
      </c>
      <c r="D138" s="317">
        <v>214533.35506</v>
      </c>
      <c r="E138" s="304"/>
      <c r="F138" s="317">
        <v>200599.99661999999</v>
      </c>
      <c r="G138" s="304"/>
    </row>
    <row r="139" spans="1:7" s="525" customFormat="1">
      <c r="A139" s="527">
        <v>205</v>
      </c>
      <c r="B139" s="526"/>
      <c r="C139" s="526" t="s">
        <v>99</v>
      </c>
      <c r="D139" s="317">
        <v>102511.14229</v>
      </c>
      <c r="E139" s="304"/>
      <c r="F139" s="317">
        <v>109815.68561</v>
      </c>
      <c r="G139" s="304"/>
    </row>
    <row r="140" spans="1:7" s="525" customFormat="1">
      <c r="A140" s="520" t="s">
        <v>98</v>
      </c>
      <c r="B140" s="519"/>
      <c r="C140" s="519" t="s">
        <v>97</v>
      </c>
      <c r="D140" s="327">
        <f>D141+D143+D144</f>
        <v>2802889.5847400003</v>
      </c>
      <c r="E140" s="326">
        <f>E141+E143+E144</f>
        <v>0</v>
      </c>
      <c r="F140" s="327">
        <f>F141+F143+F144</f>
        <v>2593048.8311199998</v>
      </c>
      <c r="G140" s="326">
        <f>G141+G143+G144</f>
        <v>0</v>
      </c>
    </row>
    <row r="141" spans="1:7" s="525" customFormat="1">
      <c r="A141" s="527">
        <v>206</v>
      </c>
      <c r="B141" s="526"/>
      <c r="C141" s="526" t="s">
        <v>96</v>
      </c>
      <c r="D141" s="317">
        <v>2558000</v>
      </c>
      <c r="E141" s="304"/>
      <c r="F141" s="317">
        <v>2388585.2879300001</v>
      </c>
      <c r="G141" s="304"/>
    </row>
    <row r="142" spans="1:7" s="525" customFormat="1">
      <c r="A142" s="529" t="s">
        <v>95</v>
      </c>
      <c r="B142" s="528"/>
      <c r="C142" s="528" t="s">
        <v>94</v>
      </c>
      <c r="D142" s="322">
        <v>0</v>
      </c>
      <c r="E142" s="328"/>
      <c r="F142" s="322">
        <v>0</v>
      </c>
      <c r="G142" s="328"/>
    </row>
    <row r="143" spans="1:7" s="525" customFormat="1">
      <c r="A143" s="527">
        <v>208</v>
      </c>
      <c r="B143" s="526"/>
      <c r="C143" s="526" t="s">
        <v>93</v>
      </c>
      <c r="D143" s="317">
        <v>130343.00706</v>
      </c>
      <c r="E143" s="304"/>
      <c r="F143" s="317">
        <v>90101.683499999999</v>
      </c>
      <c r="G143" s="304"/>
    </row>
    <row r="144" spans="1:7" s="521" customFormat="1" ht="25.5">
      <c r="A144" s="524">
        <v>209</v>
      </c>
      <c r="B144" s="523"/>
      <c r="C144" s="523" t="s">
        <v>92</v>
      </c>
      <c r="D144" s="311">
        <v>114546.57768</v>
      </c>
      <c r="E144" s="339"/>
      <c r="F144" s="311">
        <v>114361.85969</v>
      </c>
      <c r="G144" s="339"/>
    </row>
    <row r="145" spans="1:7" s="516" customFormat="1">
      <c r="A145" s="520">
        <v>29</v>
      </c>
      <c r="B145" s="519"/>
      <c r="C145" s="519" t="s">
        <v>61</v>
      </c>
      <c r="D145" s="305">
        <v>3671545.61522</v>
      </c>
      <c r="E145" s="304"/>
      <c r="F145" s="305">
        <v>3893090.64066</v>
      </c>
      <c r="G145" s="304"/>
    </row>
    <row r="146" spans="1:7" s="516" customFormat="1">
      <c r="A146" s="518" t="s">
        <v>91</v>
      </c>
      <c r="B146" s="517"/>
      <c r="C146" s="517" t="s">
        <v>90</v>
      </c>
      <c r="D146" s="300">
        <v>2196491.4835399999</v>
      </c>
      <c r="E146" s="299"/>
      <c r="F146" s="300">
        <v>2375316.2250199998</v>
      </c>
      <c r="G146" s="299"/>
    </row>
    <row r="147" spans="1:7" s="512" customFormat="1">
      <c r="A147" s="515">
        <v>2</v>
      </c>
      <c r="B147" s="514"/>
      <c r="C147" s="515" t="s">
        <v>89</v>
      </c>
      <c r="D147" s="295">
        <f>D133+D145</f>
        <v>10538821.407019999</v>
      </c>
      <c r="E147" s="295">
        <f>E133+E145</f>
        <v>0</v>
      </c>
      <c r="F147" s="295">
        <f>F133+F145</f>
        <v>10947782.109609999</v>
      </c>
      <c r="G147" s="295">
        <f>G133+G145</f>
        <v>0</v>
      </c>
    </row>
    <row r="148" spans="1:7" ht="7.5" customHeight="1">
      <c r="D148" s="512"/>
      <c r="F148" s="512"/>
    </row>
    <row r="149" spans="1:7" ht="13.5" customHeight="1">
      <c r="A149" s="511" t="s">
        <v>88</v>
      </c>
      <c r="B149" s="509"/>
      <c r="C149" s="664" t="s">
        <v>87</v>
      </c>
      <c r="D149" s="509"/>
      <c r="E149" s="509"/>
      <c r="F149" s="509"/>
      <c r="G149" s="509"/>
    </row>
    <row r="150" spans="1:7">
      <c r="A150" s="658" t="s">
        <v>86</v>
      </c>
      <c r="B150" s="494"/>
      <c r="C150" s="494" t="s">
        <v>85</v>
      </c>
      <c r="D150" s="268">
        <f>D77+SUM(D8:D12)-D30-D31+D16-D33+D59+D63-D73+D64-D74-D54+D20-D35</f>
        <v>264892.5270000007</v>
      </c>
      <c r="E150" s="268">
        <f>E77+SUM(E8:E12)-E30-E31+E16-E33+E59+E63-E73+E64-E74-E54+E20-E35</f>
        <v>141842.00099999981</v>
      </c>
      <c r="F150" s="268">
        <f>F77+SUM(F8:F12)-F30-F31+F16-F33+F59+F63-F73+F64-F74-F54+F20-F35</f>
        <v>356452.81400000013</v>
      </c>
      <c r="G150" s="268">
        <f>G77+SUM(G8:G12)-G30-G31+G16-G33+G59+G63-G73+G64-G74-G54+G20-G35</f>
        <v>218216.52500000026</v>
      </c>
    </row>
    <row r="151" spans="1:7">
      <c r="A151" s="654" t="s">
        <v>84</v>
      </c>
      <c r="B151" s="488"/>
      <c r="C151" s="488" t="s">
        <v>83</v>
      </c>
      <c r="D151" s="269">
        <f>IF(D177=0,0,D150/D177)</f>
        <v>6.854728509956777E-2</v>
      </c>
      <c r="E151" s="269">
        <f>IF(E177=0,0,E150/E177)</f>
        <v>3.7816604022864311E-2</v>
      </c>
      <c r="F151" s="269">
        <f>IF(F177=0,0,F150/F177)</f>
        <v>8.6574673414535647E-2</v>
      </c>
      <c r="G151" s="269">
        <f>IF(G177=0,0,G150/G177)</f>
        <v>5.6009136514356309E-2</v>
      </c>
    </row>
    <row r="152" spans="1:7" s="504" customFormat="1" ht="25.5">
      <c r="A152" s="508" t="s">
        <v>81</v>
      </c>
      <c r="B152" s="507"/>
      <c r="C152" s="507" t="s">
        <v>82</v>
      </c>
      <c r="D152" s="505">
        <f>IF(D107=0,0,D150/D107)</f>
        <v>1.0700252908763461</v>
      </c>
      <c r="E152" s="505">
        <f>IF(E107=0,0,E150/E107)</f>
        <v>0.3774356108029569</v>
      </c>
      <c r="F152" s="505">
        <f>IF(F107=0,0,F150/F107)</f>
        <v>1.3185389072217808</v>
      </c>
      <c r="G152" s="505">
        <f>IF(G107=0,0,G150/G107)</f>
        <v>0.45837012436015656</v>
      </c>
    </row>
    <row r="153" spans="1:7" s="504" customFormat="1" ht="25.5">
      <c r="A153" s="497" t="s">
        <v>81</v>
      </c>
      <c r="B153" s="500"/>
      <c r="C153" s="500" t="s">
        <v>80</v>
      </c>
      <c r="D153" s="274">
        <f>IF(0=D108,0,D150/D108)</f>
        <v>1.6922329802539886</v>
      </c>
      <c r="E153" s="274">
        <f>IF(0=E108,0,E150/E108)</f>
        <v>0.40688516929643714</v>
      </c>
      <c r="F153" s="274">
        <f>IF(0=F108,0,F150/F108)</f>
        <v>1.1299044308098829</v>
      </c>
      <c r="G153" s="274">
        <f>IF(0=G108,0,G150/G108)</f>
        <v>0.48953752564658831</v>
      </c>
    </row>
    <row r="154" spans="1:7" ht="25.5">
      <c r="A154" s="503" t="s">
        <v>79</v>
      </c>
      <c r="B154" s="502"/>
      <c r="C154" s="502" t="s">
        <v>78</v>
      </c>
      <c r="D154" s="279">
        <f>D150-D107</f>
        <v>17335.26900000067</v>
      </c>
      <c r="E154" s="279">
        <f>E150-E107</f>
        <v>-233962.49900000019</v>
      </c>
      <c r="F154" s="279">
        <f>F150-F107</f>
        <v>86113.568000000145</v>
      </c>
      <c r="G154" s="279">
        <f>G150-G107</f>
        <v>-257854.04199999978</v>
      </c>
    </row>
    <row r="155" spans="1:7" ht="25.5">
      <c r="A155" s="497" t="s">
        <v>77</v>
      </c>
      <c r="B155" s="500"/>
      <c r="C155" s="500" t="s">
        <v>76</v>
      </c>
      <c r="D155" s="282">
        <f>D150-D108</f>
        <v>108358.21400000068</v>
      </c>
      <c r="E155" s="282">
        <f>E150-E108</f>
        <v>-206762.49900000019</v>
      </c>
      <c r="F155" s="282">
        <f>F150-F108</f>
        <v>40981.165000000154</v>
      </c>
      <c r="G155" s="282">
        <f>G150-G108</f>
        <v>-227544.04199999978</v>
      </c>
    </row>
    <row r="156" spans="1:7">
      <c r="A156" s="498" t="s">
        <v>75</v>
      </c>
      <c r="B156" s="494"/>
      <c r="C156" s="494" t="s">
        <v>74</v>
      </c>
      <c r="D156" s="277">
        <f>D135+D136-D137+D141-D142</f>
        <v>6305341.7097100001</v>
      </c>
      <c r="E156" s="277">
        <f>E135+E136-E137+E141-E142</f>
        <v>0</v>
      </c>
      <c r="F156" s="277">
        <f>F135+F136-F137+F141-F142</f>
        <v>6539812.2435299996</v>
      </c>
      <c r="G156" s="277">
        <f>G135+G136-G137+G141-G142</f>
        <v>0</v>
      </c>
    </row>
    <row r="157" spans="1:7">
      <c r="A157" s="492" t="s">
        <v>73</v>
      </c>
      <c r="B157" s="491"/>
      <c r="C157" s="491" t="s">
        <v>72</v>
      </c>
      <c r="D157" s="273">
        <f>IF(D177=0,0,D156/D177)</f>
        <v>1.6316581699025672</v>
      </c>
      <c r="E157" s="273">
        <f>IF(E177=0,0,E156/E177)</f>
        <v>0</v>
      </c>
      <c r="F157" s="273">
        <f>IF(F177=0,0,F156/F177)</f>
        <v>1.5883788454984429</v>
      </c>
      <c r="G157" s="273">
        <f>IF(G177=0,0,G156/G177)</f>
        <v>0</v>
      </c>
    </row>
    <row r="158" spans="1:7">
      <c r="A158" s="498" t="s">
        <v>71</v>
      </c>
      <c r="B158" s="494"/>
      <c r="C158" s="494" t="s">
        <v>70</v>
      </c>
      <c r="D158" s="277">
        <f>D133-D142-D111</f>
        <v>2034216.3463799991</v>
      </c>
      <c r="E158" s="277">
        <f>E133-E142-E111</f>
        <v>0</v>
      </c>
      <c r="F158" s="277">
        <f>F133-F142-F111</f>
        <v>1949921.3258599993</v>
      </c>
      <c r="G158" s="277">
        <f>G133-G142-G111</f>
        <v>0</v>
      </c>
    </row>
    <row r="159" spans="1:7">
      <c r="A159" s="489" t="s">
        <v>69</v>
      </c>
      <c r="B159" s="488"/>
      <c r="C159" s="488" t="s">
        <v>68</v>
      </c>
      <c r="D159" s="265">
        <f>D121-D123-D124-D142-D145</f>
        <v>-772231.06272999942</v>
      </c>
      <c r="E159" s="265">
        <f>E121-E123-E124-E142-E145</f>
        <v>0</v>
      </c>
      <c r="F159" s="265">
        <f>F121-F123-F124-F142-F145</f>
        <v>-870281.94699000102</v>
      </c>
      <c r="G159" s="265">
        <f>G121-G123-G124-G142-G145</f>
        <v>0</v>
      </c>
    </row>
    <row r="160" spans="1:7">
      <c r="A160" s="489" t="s">
        <v>66</v>
      </c>
      <c r="B160" s="488"/>
      <c r="C160" s="488" t="s">
        <v>67</v>
      </c>
      <c r="D160" s="276">
        <f>IF(D175=0,"-",1000*D158/D175)</f>
        <v>10448.113460299846</v>
      </c>
      <c r="E160" s="276">
        <f>IF(E175=0,"-",1000*E158/E175)</f>
        <v>0</v>
      </c>
      <c r="F160" s="276">
        <f>IF(F175=0,"-",1000*F158/F175)</f>
        <v>9944.2149151902686</v>
      </c>
      <c r="G160" s="276">
        <f>IF(G175=0,"-",1000*G158/G175)</f>
        <v>0</v>
      </c>
    </row>
    <row r="161" spans="1:7">
      <c r="A161" s="489" t="s">
        <v>66</v>
      </c>
      <c r="B161" s="488"/>
      <c r="C161" s="488" t="s">
        <v>65</v>
      </c>
      <c r="D161" s="265">
        <f>IF(D175=0,0,1000*(D159/D175))</f>
        <v>-3966.3223507809539</v>
      </c>
      <c r="E161" s="265">
        <f>IF(E175=0,0,1000*(E159/E175))</f>
        <v>0</v>
      </c>
      <c r="F161" s="265">
        <f>IF(F175=0,0,1000*(F159/F175))</f>
        <v>-4438.2666125577607</v>
      </c>
      <c r="G161" s="265">
        <f>IF(G175=0,0,1000*(G159/G175))</f>
        <v>0</v>
      </c>
    </row>
    <row r="162" spans="1:7">
      <c r="A162" s="492" t="s">
        <v>64</v>
      </c>
      <c r="B162" s="491"/>
      <c r="C162" s="491" t="s">
        <v>63</v>
      </c>
      <c r="D162" s="273">
        <f>IF((D22+D23+D65+D66)=0,0,D158/(D22+D23+D65+D66))</f>
        <v>0.81979221653482748</v>
      </c>
      <c r="E162" s="273">
        <f>IF((E22+E23+E65+E66)=0,0,E158/(E22+E23+E65+E66))</f>
        <v>0</v>
      </c>
      <c r="F162" s="273">
        <f>IF((F22+F23+F65+F66)=0,0,F158/(F22+F23+F65+F66))</f>
        <v>0.74446972778967313</v>
      </c>
      <c r="G162" s="273">
        <f>IF((G22+G23+G65+G66)=0,0,G158/(G22+G23+G65+G66))</f>
        <v>0</v>
      </c>
    </row>
    <row r="163" spans="1:7">
      <c r="A163" s="489" t="s">
        <v>62</v>
      </c>
      <c r="B163" s="488"/>
      <c r="C163" s="488" t="s">
        <v>61</v>
      </c>
      <c r="D163" s="268">
        <f>D145</f>
        <v>3671545.61522</v>
      </c>
      <c r="E163" s="268">
        <f>E145</f>
        <v>0</v>
      </c>
      <c r="F163" s="268">
        <f>F145</f>
        <v>3893090.64066</v>
      </c>
      <c r="G163" s="268">
        <f>G145</f>
        <v>0</v>
      </c>
    </row>
    <row r="164" spans="1:7" ht="25.5">
      <c r="A164" s="497" t="s">
        <v>60</v>
      </c>
      <c r="B164" s="496"/>
      <c r="C164" s="496" t="s">
        <v>59</v>
      </c>
      <c r="D164" s="274">
        <f>IF(D178=0,0,D146/D178)</f>
        <v>0.58123816365579994</v>
      </c>
      <c r="E164" s="274">
        <f>IF(E178=0,0,E146/E178)</f>
        <v>0</v>
      </c>
      <c r="F164" s="274">
        <f>IF(F178=0,0,F146/F178)</f>
        <v>0.60318159207262267</v>
      </c>
      <c r="G164" s="274">
        <f>IF(G178=0,0,G146/G178)</f>
        <v>0</v>
      </c>
    </row>
    <row r="165" spans="1:7">
      <c r="A165" s="486" t="s">
        <v>58</v>
      </c>
      <c r="B165" s="485"/>
      <c r="C165" s="485" t="s">
        <v>57</v>
      </c>
      <c r="D165" s="262">
        <f>IF(D177=0,0,D180/D177)</f>
        <v>5.6739457784052275E-2</v>
      </c>
      <c r="E165" s="262">
        <f>IF(E177=0,0,E180/E177)</f>
        <v>4.8951169270808045E-2</v>
      </c>
      <c r="F165" s="262">
        <f>IF(F177=0,0,F180/F177)</f>
        <v>4.9620789857594542E-2</v>
      </c>
      <c r="G165" s="262">
        <f>IF(G177=0,0,G180/G177)</f>
        <v>5.3339622123515236E-2</v>
      </c>
    </row>
    <row r="166" spans="1:7">
      <c r="A166" s="489" t="s">
        <v>56</v>
      </c>
      <c r="B166" s="488"/>
      <c r="C166" s="488" t="s">
        <v>55</v>
      </c>
      <c r="D166" s="268">
        <f>D55</f>
        <v>208827.43700000001</v>
      </c>
      <c r="E166" s="268">
        <f>E55</f>
        <v>167763.15400000004</v>
      </c>
      <c r="F166" s="268">
        <f>F55</f>
        <v>195665.09499999997</v>
      </c>
      <c r="G166" s="268">
        <f>G55</f>
        <v>201403.50099999999</v>
      </c>
    </row>
    <row r="167" spans="1:7">
      <c r="A167" s="492" t="s">
        <v>54</v>
      </c>
      <c r="B167" s="491"/>
      <c r="C167" s="491" t="s">
        <v>53</v>
      </c>
      <c r="D167" s="273">
        <f>IF(0=D111,0,(D44+D45+D46+D47+D48)/D111)</f>
        <v>5.218647274016338E-2</v>
      </c>
      <c r="E167" s="273">
        <f>IF(0=E111,0,(E44+E45+E46+E47+E48)/E111)</f>
        <v>0</v>
      </c>
      <c r="F167" s="273">
        <f>IF(0=F111,0,(F44+F45+F46+F47+F48)/F111)</f>
        <v>5.6559200494232645E-2</v>
      </c>
      <c r="G167" s="273">
        <f>IF(0=G111,0,(G44+G45+G46+G47+G48)/G111)</f>
        <v>0</v>
      </c>
    </row>
    <row r="168" spans="1:7">
      <c r="A168" s="489" t="s">
        <v>52</v>
      </c>
      <c r="B168" s="494"/>
      <c r="C168" s="494" t="s">
        <v>51</v>
      </c>
      <c r="D168" s="268">
        <f>D38-D44</f>
        <v>39736.824000000001</v>
      </c>
      <c r="E168" s="268">
        <f>E38-E44</f>
        <v>43993.180999999997</v>
      </c>
      <c r="F168" s="268">
        <f>F38-F44</f>
        <v>27159.024000000001</v>
      </c>
      <c r="G168" s="268">
        <f>G38-G44</f>
        <v>27006.464999999997</v>
      </c>
    </row>
    <row r="169" spans="1:7">
      <c r="A169" s="492" t="s">
        <v>50</v>
      </c>
      <c r="B169" s="491"/>
      <c r="C169" s="491" t="s">
        <v>49</v>
      </c>
      <c r="D169" s="269">
        <f>IF(D177=0,0,D168/D177)</f>
        <v>1.0282854841274326E-2</v>
      </c>
      <c r="E169" s="269">
        <f>IF(E177=0,0,E168/E177)</f>
        <v>1.1729055525543522E-2</v>
      </c>
      <c r="F169" s="269">
        <f>IF(F177=0,0,F168/F177)</f>
        <v>6.5963390965333634E-3</v>
      </c>
      <c r="G169" s="269">
        <f>IF(G177=0,0,G168/G177)</f>
        <v>6.9316876206106919E-3</v>
      </c>
    </row>
    <row r="170" spans="1:7">
      <c r="A170" s="489" t="s">
        <v>48</v>
      </c>
      <c r="B170" s="488"/>
      <c r="C170" s="488" t="s">
        <v>47</v>
      </c>
      <c r="D170" s="268">
        <f>SUM(D82:D87)+SUM(D89:D94)</f>
        <v>477369.07300000003</v>
      </c>
      <c r="E170" s="268">
        <f>SUM(E82:E87)+SUM(E89:E94)</f>
        <v>386804.5</v>
      </c>
      <c r="F170" s="268">
        <f>SUM(F82:F87)+SUM(F89:F94)</f>
        <v>367492.07899999997</v>
      </c>
      <c r="G170" s="268">
        <f>SUM(G82:G87)+SUM(G89:G94)</f>
        <v>560477.76</v>
      </c>
    </row>
    <row r="171" spans="1:7">
      <c r="A171" s="489" t="s">
        <v>46</v>
      </c>
      <c r="B171" s="488"/>
      <c r="C171" s="488" t="s">
        <v>45</v>
      </c>
      <c r="D171" s="265">
        <f>SUM(D96:D102)+SUM(D104:D105)</f>
        <v>229811.815</v>
      </c>
      <c r="E171" s="265">
        <f>SUM(E96:E102)+SUM(E104:E105)</f>
        <v>11000</v>
      </c>
      <c r="F171" s="265">
        <f>SUM(F96:F102)+SUM(F104:F105)</f>
        <v>97152.832999999999</v>
      </c>
      <c r="G171" s="265">
        <f>SUM(G96:G102)+SUM(G104:G105)</f>
        <v>84407.192999999999</v>
      </c>
    </row>
    <row r="172" spans="1:7">
      <c r="A172" s="486" t="s">
        <v>44</v>
      </c>
      <c r="B172" s="485"/>
      <c r="C172" s="485" t="s">
        <v>43</v>
      </c>
      <c r="D172" s="262">
        <f>IF(D184=0,0,D170/D184)</f>
        <v>0.11945900140604723</v>
      </c>
      <c r="E172" s="262">
        <f>IF(E184=0,0,E170/E184)</f>
        <v>9.6875578105111576E-2</v>
      </c>
      <c r="F172" s="262">
        <f>IF(F184=0,0,F170/F184)</f>
        <v>9.1060685789099136E-2</v>
      </c>
      <c r="G172" s="262">
        <f>IF(G184=0,0,G170/G184)</f>
        <v>0.13249108615602248</v>
      </c>
    </row>
    <row r="173" spans="1:7">
      <c r="A173" s="678"/>
    </row>
    <row r="174" spans="1:7">
      <c r="A174" s="479" t="s">
        <v>42</v>
      </c>
      <c r="B174" s="477"/>
      <c r="C174" s="649"/>
      <c r="D174" s="260"/>
      <c r="E174" s="260"/>
      <c r="F174" s="260"/>
      <c r="G174" s="260"/>
    </row>
    <row r="175" spans="1:7" s="480" customFormat="1">
      <c r="A175" s="478" t="s">
        <v>41</v>
      </c>
      <c r="B175" s="477"/>
      <c r="C175" s="477" t="s">
        <v>259</v>
      </c>
      <c r="D175" s="650">
        <v>194697</v>
      </c>
      <c r="E175" s="650">
        <v>194697</v>
      </c>
      <c r="F175" s="650">
        <v>196086</v>
      </c>
      <c r="G175" s="650">
        <v>196086</v>
      </c>
    </row>
    <row r="176" spans="1:7">
      <c r="A176" s="479" t="s">
        <v>39</v>
      </c>
      <c r="B176" s="477"/>
      <c r="C176" s="477"/>
      <c r="D176" s="477"/>
      <c r="E176" s="477"/>
      <c r="F176" s="477"/>
      <c r="G176" s="477"/>
    </row>
    <row r="177" spans="1:7">
      <c r="A177" s="478" t="s">
        <v>38</v>
      </c>
      <c r="B177" s="477"/>
      <c r="C177" s="477" t="s">
        <v>37</v>
      </c>
      <c r="D177" s="475">
        <f>SUM(D22:D32)+SUM(D44:D53)+SUM(D65:D72)+D75</f>
        <v>3864376.6360000009</v>
      </c>
      <c r="E177" s="475">
        <f>SUM(E22:E32)+SUM(E44:E53)+SUM(E65:E72)+E75</f>
        <v>3750786.3190000001</v>
      </c>
      <c r="F177" s="475">
        <f>SUM(F22:F32)+SUM(F44:F53)+SUM(F65:F72)+F75</f>
        <v>4117287.4230000004</v>
      </c>
      <c r="G177" s="475">
        <f>SUM(G22:G32)+SUM(G44:G53)+SUM(G65:G72)+G75</f>
        <v>3896088.0060000001</v>
      </c>
    </row>
    <row r="178" spans="1:7">
      <c r="A178" s="478" t="s">
        <v>36</v>
      </c>
      <c r="B178" s="477"/>
      <c r="C178" s="477" t="s">
        <v>35</v>
      </c>
      <c r="D178" s="475">
        <f>D78-D17-D20-D59-D63-D64</f>
        <v>3778987.0329999998</v>
      </c>
      <c r="E178" s="475">
        <f>E78-E17-E20-E59-E63-E64</f>
        <v>3748556.5130000003</v>
      </c>
      <c r="F178" s="475">
        <f>F78-F17-F20-F59-F63-F64</f>
        <v>3937978.639</v>
      </c>
      <c r="G178" s="475">
        <f>G78-G17-G20-G59-G63-G64</f>
        <v>3858680.8779999996</v>
      </c>
    </row>
    <row r="179" spans="1:7">
      <c r="A179" s="478"/>
      <c r="B179" s="477"/>
      <c r="C179" s="477" t="s">
        <v>34</v>
      </c>
      <c r="D179" s="475">
        <f>D178+D170</f>
        <v>4256356.1059999997</v>
      </c>
      <c r="E179" s="475">
        <f>E178+E170</f>
        <v>4135361.0130000003</v>
      </c>
      <c r="F179" s="475">
        <f>F178+F170</f>
        <v>4305470.7180000003</v>
      </c>
      <c r="G179" s="475">
        <f>G178+G170</f>
        <v>4419158.6379999993</v>
      </c>
    </row>
    <row r="180" spans="1:7">
      <c r="A180" s="478" t="s">
        <v>33</v>
      </c>
      <c r="B180" s="477"/>
      <c r="C180" s="477" t="s">
        <v>32</v>
      </c>
      <c r="D180" s="475">
        <f>D38-D44+D8+D9+D10+D16-D33</f>
        <v>219262.63499999998</v>
      </c>
      <c r="E180" s="475">
        <f>E38-E44+E8+E9+E10+E16-E33</f>
        <v>183605.37600000002</v>
      </c>
      <c r="F180" s="475">
        <f>F38-F44+F8+F9+F10+F16-F33</f>
        <v>204303.054</v>
      </c>
      <c r="G180" s="475">
        <f>G38-G44+G8+G9+G10+G16-G33</f>
        <v>207815.86199999996</v>
      </c>
    </row>
    <row r="181" spans="1:7" ht="27.6" customHeight="1">
      <c r="A181" s="474" t="s">
        <v>31</v>
      </c>
      <c r="B181" s="472"/>
      <c r="C181" s="472" t="s">
        <v>30</v>
      </c>
      <c r="D181" s="249">
        <f>D22+D23+D24+D25+D26+D29+SUM(D44:D47)+SUM(D49:D53)-D54+D32-D33+SUM(D65:D70)+D72</f>
        <v>3765012.1810000008</v>
      </c>
      <c r="E181" s="249">
        <f>E22+E23+E24+E25+E26+E29+SUM(E44:E47)+SUM(E49:E53)-E54+E32-E33+SUM(E65:E70)+E72</f>
        <v>3748036.3190000001</v>
      </c>
      <c r="F181" s="249">
        <f>F22+F23+F24+F25+F26+F29+SUM(F44:F47)+SUM(F49:F53)-F54+F32-F33+SUM(F65:F70)+F72</f>
        <v>3984541.3940000003</v>
      </c>
      <c r="G181" s="249">
        <f>G22+G23+G24+G25+G26+G29+SUM(G44:G47)+SUM(G49:G53)-G54+G32-G33+SUM(G65:G70)+G72</f>
        <v>3888262.1860000002</v>
      </c>
    </row>
    <row r="182" spans="1:7">
      <c r="A182" s="473" t="s">
        <v>29</v>
      </c>
      <c r="B182" s="472"/>
      <c r="C182" s="472" t="s">
        <v>28</v>
      </c>
      <c r="D182" s="249">
        <f>D181+D171</f>
        <v>3994823.9960000007</v>
      </c>
      <c r="E182" s="249">
        <f>E181+E171</f>
        <v>3759036.3190000001</v>
      </c>
      <c r="F182" s="249">
        <f>F181+F171</f>
        <v>4081694.2270000004</v>
      </c>
      <c r="G182" s="249">
        <f>G181+G171</f>
        <v>3972669.3790000002</v>
      </c>
    </row>
    <row r="183" spans="1:7">
      <c r="A183" s="473" t="s">
        <v>27</v>
      </c>
      <c r="B183" s="472"/>
      <c r="C183" s="472" t="s">
        <v>26</v>
      </c>
      <c r="D183" s="249">
        <f>D4+D5-D7+D38+D39+D40+D41+D43+D13-D16+D57+D58+D60+D62</f>
        <v>3518722.1999999997</v>
      </c>
      <c r="E183" s="249">
        <f>E4+E5-E7+E38+E39+E40+E41+E43+E13-E16+E57+E58+E60+E62</f>
        <v>3605992.3180000004</v>
      </c>
      <c r="F183" s="249">
        <f>F4+F5-F7+F38+F39+F40+F41+F43+F13-F16+F57+F58+F60+F62</f>
        <v>3668191.1120000002</v>
      </c>
      <c r="G183" s="249">
        <f>G4+G5-G7+G38+G39+G40+G41+G43+G13-G16+G57+G58+G60+G62</f>
        <v>3669827.6609999998</v>
      </c>
    </row>
    <row r="184" spans="1:7">
      <c r="A184" s="473" t="s">
        <v>25</v>
      </c>
      <c r="B184" s="472"/>
      <c r="C184" s="472" t="s">
        <v>24</v>
      </c>
      <c r="D184" s="249">
        <f>D183+D170</f>
        <v>3996091.2729999996</v>
      </c>
      <c r="E184" s="249">
        <f>E183+E170</f>
        <v>3992796.8180000004</v>
      </c>
      <c r="F184" s="249">
        <f>F183+F170</f>
        <v>4035683.1910000001</v>
      </c>
      <c r="G184" s="249">
        <f>G183+G170</f>
        <v>4230305.4210000001</v>
      </c>
    </row>
    <row r="185" spans="1:7">
      <c r="A185" s="473"/>
      <c r="B185" s="472"/>
      <c r="C185" s="472" t="s">
        <v>23</v>
      </c>
      <c r="D185" s="249">
        <f t="shared" ref="D185:G186" si="0">D181-D183</f>
        <v>246289.98100000108</v>
      </c>
      <c r="E185" s="249">
        <f t="shared" si="0"/>
        <v>142044.0009999997</v>
      </c>
      <c r="F185" s="249">
        <f t="shared" si="0"/>
        <v>316350.28200000012</v>
      </c>
      <c r="G185" s="249">
        <f t="shared" si="0"/>
        <v>218434.52500000037</v>
      </c>
    </row>
    <row r="186" spans="1:7">
      <c r="A186" s="473"/>
      <c r="B186" s="472"/>
      <c r="C186" s="472" t="s">
        <v>22</v>
      </c>
      <c r="D186" s="249">
        <f t="shared" si="0"/>
        <v>-1267.2769999988377</v>
      </c>
      <c r="E186" s="249">
        <f t="shared" si="0"/>
        <v>-233760.4990000003</v>
      </c>
      <c r="F186" s="249">
        <f t="shared" si="0"/>
        <v>46011.036000000313</v>
      </c>
      <c r="G186" s="249">
        <f t="shared" si="0"/>
        <v>-257636.0419999999</v>
      </c>
    </row>
    <row r="188" spans="1:7">
      <c r="A188" s="953" t="s">
        <v>268</v>
      </c>
      <c r="B188" s="954"/>
      <c r="C188" s="954"/>
    </row>
    <row r="189" spans="1:7">
      <c r="A189" s="613" t="s">
        <v>267</v>
      </c>
      <c r="B189" s="613"/>
      <c r="C189" s="613"/>
    </row>
  </sheetData>
  <sheetProtection selectLockedCells="1" sort="0" autoFilter="0" pivotTables="0"/>
  <mergeCells count="3">
    <mergeCell ref="A3:C3"/>
    <mergeCell ref="A81:C81"/>
    <mergeCell ref="A188:C188"/>
  </mergeCells>
  <pageMargins left="0.23622047244094491" right="0.23622047244094491" top="0.74803149606299213" bottom="0.74803149606299213" header="0.31496062992125984" footer="0.31496062992125984"/>
  <pageSetup paperSize="9" orientation="landscape" r:id="rId1"/>
  <headerFooter alignWithMargins="0">
    <oddHeader>&amp;LFachgruppe für kantonale Finanzfragen (FkF)
Groupe d'études pour les finances cantonales
&amp;CKanton VD&amp;RZürich, 11.05.2015</oddHeader>
    <oddFooter>&amp;L&amp;F / &amp;A</oddFooter>
  </headerFooter>
  <rowBreaks count="2" manualBreakCount="2">
    <brk id="79" max="16383" man="1"/>
    <brk id="147" max="16383" man="1"/>
  </rowBreaks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3">
    <tabColor rgb="FF00B050"/>
  </sheetPr>
  <dimension ref="A1:AN186"/>
  <sheetViews>
    <sheetView zoomScale="130" zoomScaleNormal="130" workbookViewId="0">
      <selection activeCell="G10" sqref="G10"/>
    </sheetView>
  </sheetViews>
  <sheetFormatPr baseColWidth="10" defaultColWidth="11.42578125" defaultRowHeight="12.75"/>
  <cols>
    <col min="1" max="1" width="15.140625" style="470" customWidth="1"/>
    <col min="2" max="2" width="3.7109375" style="470" customWidth="1"/>
    <col min="3" max="3" width="44.7109375" style="470" customWidth="1"/>
    <col min="4" max="4" width="9.7109375" style="470" customWidth="1"/>
    <col min="5" max="5" width="11.42578125" style="470"/>
    <col min="6" max="6" width="9.7109375" style="672" customWidth="1"/>
    <col min="7" max="7" width="11.42578125" style="672"/>
    <col min="8" max="16384" width="11.42578125" style="470"/>
  </cols>
  <sheetData>
    <row r="1" spans="1:40" s="642" customFormat="1" ht="18" customHeight="1">
      <c r="A1" s="752" t="s">
        <v>258</v>
      </c>
      <c r="B1" s="752" t="s">
        <v>266</v>
      </c>
      <c r="C1" s="752" t="s">
        <v>265</v>
      </c>
      <c r="D1" s="643" t="s">
        <v>255</v>
      </c>
      <c r="E1" s="644" t="s">
        <v>254</v>
      </c>
      <c r="F1" s="751" t="s">
        <v>255</v>
      </c>
      <c r="G1" s="750" t="s">
        <v>254</v>
      </c>
      <c r="H1" s="608"/>
      <c r="I1" s="608"/>
      <c r="J1" s="608"/>
      <c r="K1" s="608"/>
      <c r="L1" s="608"/>
      <c r="M1" s="608"/>
      <c r="N1" s="608"/>
      <c r="O1" s="608"/>
      <c r="P1" s="608"/>
      <c r="Q1" s="608"/>
      <c r="R1" s="608"/>
      <c r="S1" s="608"/>
      <c r="T1" s="608"/>
      <c r="U1" s="608"/>
      <c r="V1" s="608"/>
      <c r="W1" s="608"/>
      <c r="X1" s="608"/>
      <c r="Y1" s="608"/>
      <c r="Z1" s="608"/>
      <c r="AA1" s="608"/>
      <c r="AB1" s="608"/>
      <c r="AC1" s="608"/>
      <c r="AD1" s="608"/>
      <c r="AE1" s="608"/>
      <c r="AF1" s="608"/>
      <c r="AG1" s="608"/>
      <c r="AH1" s="608"/>
      <c r="AI1" s="608"/>
      <c r="AJ1" s="608"/>
      <c r="AK1" s="608"/>
      <c r="AL1" s="608"/>
      <c r="AM1" s="608"/>
      <c r="AN1" s="608"/>
    </row>
    <row r="2" spans="1:40" s="636" customFormat="1" ht="15" customHeight="1">
      <c r="A2" s="641"/>
      <c r="B2" s="640"/>
      <c r="C2" s="639" t="s">
        <v>253</v>
      </c>
      <c r="D2" s="637">
        <v>2013</v>
      </c>
      <c r="E2" s="638">
        <v>2014</v>
      </c>
      <c r="F2" s="749">
        <v>2014</v>
      </c>
      <c r="G2" s="748">
        <v>2015</v>
      </c>
    </row>
    <row r="3" spans="1:40" ht="15" customHeight="1">
      <c r="A3" s="949" t="s">
        <v>252</v>
      </c>
      <c r="B3" s="950"/>
      <c r="C3" s="950"/>
      <c r="D3" s="512"/>
      <c r="E3" s="635" t="s">
        <v>251</v>
      </c>
      <c r="F3" s="747"/>
      <c r="G3" s="746" t="s">
        <v>251</v>
      </c>
    </row>
    <row r="4" spans="1:40" s="480" customFormat="1" ht="12.75" customHeight="1">
      <c r="A4" s="670">
        <v>30</v>
      </c>
      <c r="B4" s="669"/>
      <c r="C4" s="632" t="s">
        <v>250</v>
      </c>
      <c r="D4" s="411">
        <v>632209.9</v>
      </c>
      <c r="E4" s="411">
        <v>634853.9</v>
      </c>
      <c r="F4" s="745">
        <v>627557.4</v>
      </c>
      <c r="G4" s="745">
        <v>621857.69999999995</v>
      </c>
    </row>
    <row r="5" spans="1:40" s="480" customFormat="1" ht="12.75" customHeight="1">
      <c r="A5" s="591">
        <v>31</v>
      </c>
      <c r="B5" s="587"/>
      <c r="C5" s="585" t="s">
        <v>249</v>
      </c>
      <c r="D5" s="317">
        <v>250980.2</v>
      </c>
      <c r="E5" s="317">
        <v>251813.1</v>
      </c>
      <c r="F5" s="702">
        <v>238648</v>
      </c>
      <c r="G5" s="738">
        <v>243901.5</v>
      </c>
    </row>
    <row r="6" spans="1:40" s="480" customFormat="1" ht="12.75" customHeight="1">
      <c r="A6" s="630" t="s">
        <v>248</v>
      </c>
      <c r="B6" s="586"/>
      <c r="C6" s="616" t="s">
        <v>247</v>
      </c>
      <c r="D6" s="322">
        <v>29229.8</v>
      </c>
      <c r="E6" s="322">
        <v>30948</v>
      </c>
      <c r="F6" s="704">
        <v>28923.9</v>
      </c>
      <c r="G6" s="738">
        <v>30571.9</v>
      </c>
    </row>
    <row r="7" spans="1:40" s="480" customFormat="1" ht="12.75" customHeight="1">
      <c r="A7" s="630" t="s">
        <v>246</v>
      </c>
      <c r="B7" s="586"/>
      <c r="C7" s="616" t="s">
        <v>245</v>
      </c>
      <c r="D7" s="322">
        <v>26559.9</v>
      </c>
      <c r="E7" s="322">
        <v>25340.1</v>
      </c>
      <c r="F7" s="704">
        <v>20763</v>
      </c>
      <c r="G7" s="738">
        <v>24891.8</v>
      </c>
    </row>
    <row r="8" spans="1:40" s="480" customFormat="1" ht="12.75" customHeight="1">
      <c r="A8" s="593">
        <v>330</v>
      </c>
      <c r="B8" s="587"/>
      <c r="C8" s="585" t="s">
        <v>244</v>
      </c>
      <c r="D8" s="317">
        <v>69465.3</v>
      </c>
      <c r="E8" s="317">
        <v>71857.8</v>
      </c>
      <c r="F8" s="702">
        <v>75726.3</v>
      </c>
      <c r="G8" s="738">
        <v>68161.7</v>
      </c>
    </row>
    <row r="9" spans="1:40" s="480" customFormat="1" ht="12.75" customHeight="1">
      <c r="A9" s="593">
        <v>332</v>
      </c>
      <c r="B9" s="587"/>
      <c r="C9" s="585" t="s">
        <v>243</v>
      </c>
      <c r="D9" s="317">
        <v>0</v>
      </c>
      <c r="E9" s="317">
        <v>0</v>
      </c>
      <c r="F9" s="702">
        <v>0</v>
      </c>
      <c r="G9" s="738">
        <v>0</v>
      </c>
    </row>
    <row r="10" spans="1:40" s="480" customFormat="1" ht="12.75" customHeight="1">
      <c r="A10" s="593">
        <v>339</v>
      </c>
      <c r="B10" s="587"/>
      <c r="C10" s="585" t="s">
        <v>242</v>
      </c>
      <c r="D10" s="317">
        <v>0</v>
      </c>
      <c r="E10" s="317">
        <v>0</v>
      </c>
      <c r="F10" s="702">
        <v>0</v>
      </c>
      <c r="G10" s="738">
        <v>0</v>
      </c>
    </row>
    <row r="11" spans="1:40" s="480" customFormat="1" ht="12.75" customHeight="1">
      <c r="A11" s="591">
        <v>350</v>
      </c>
      <c r="B11" s="587"/>
      <c r="C11" s="585" t="s">
        <v>241</v>
      </c>
      <c r="D11" s="317">
        <v>22962.9</v>
      </c>
      <c r="E11" s="317">
        <v>22721</v>
      </c>
      <c r="F11" s="702">
        <v>23404.5</v>
      </c>
      <c r="G11" s="738">
        <v>21650</v>
      </c>
    </row>
    <row r="12" spans="1:40" s="579" customFormat="1">
      <c r="A12" s="597">
        <v>351</v>
      </c>
      <c r="B12" s="596"/>
      <c r="C12" s="589" t="s">
        <v>240</v>
      </c>
      <c r="D12" s="450">
        <v>0</v>
      </c>
      <c r="E12" s="450">
        <v>0</v>
      </c>
      <c r="F12" s="744">
        <v>0</v>
      </c>
      <c r="G12" s="738">
        <v>0</v>
      </c>
    </row>
    <row r="13" spans="1:40" s="480" customFormat="1" ht="12.75" customHeight="1">
      <c r="A13" s="591">
        <v>36</v>
      </c>
      <c r="B13" s="587"/>
      <c r="C13" s="585" t="s">
        <v>239</v>
      </c>
      <c r="D13" s="322">
        <v>1403759.5</v>
      </c>
      <c r="E13" s="322">
        <v>1431664.9</v>
      </c>
      <c r="F13" s="704">
        <v>1459499.1</v>
      </c>
      <c r="G13" s="738">
        <v>1521046.8</v>
      </c>
    </row>
    <row r="14" spans="1:40" s="480" customFormat="1" ht="12.75" customHeight="1">
      <c r="A14" s="629" t="s">
        <v>238</v>
      </c>
      <c r="B14" s="587"/>
      <c r="C14" s="627" t="s">
        <v>237</v>
      </c>
      <c r="D14" s="322">
        <v>243629.7</v>
      </c>
      <c r="E14" s="322">
        <v>81545</v>
      </c>
      <c r="F14" s="704">
        <v>75099.8</v>
      </c>
      <c r="G14" s="738">
        <v>79013</v>
      </c>
    </row>
    <row r="15" spans="1:40" s="480" customFormat="1" ht="12.75" customHeight="1">
      <c r="A15" s="629" t="s">
        <v>236</v>
      </c>
      <c r="B15" s="587"/>
      <c r="C15" s="627" t="s">
        <v>235</v>
      </c>
      <c r="D15" s="322">
        <v>179164.9</v>
      </c>
      <c r="E15" s="322">
        <v>96022</v>
      </c>
      <c r="F15" s="704">
        <v>99074.4</v>
      </c>
      <c r="G15" s="738">
        <v>91801.3</v>
      </c>
    </row>
    <row r="16" spans="1:40" s="626" customFormat="1" ht="26.25" customHeight="1">
      <c r="A16" s="629" t="s">
        <v>234</v>
      </c>
      <c r="B16" s="668"/>
      <c r="C16" s="627" t="s">
        <v>233</v>
      </c>
      <c r="D16" s="442">
        <v>112.8</v>
      </c>
      <c r="E16" s="442">
        <v>1800</v>
      </c>
      <c r="F16" s="742">
        <v>910.1</v>
      </c>
      <c r="G16" s="738">
        <v>2458.1999999999998</v>
      </c>
    </row>
    <row r="17" spans="1:7" s="622" customFormat="1">
      <c r="A17" s="591">
        <v>37</v>
      </c>
      <c r="B17" s="587"/>
      <c r="C17" s="585" t="s">
        <v>211</v>
      </c>
      <c r="D17" s="431">
        <v>95811.4</v>
      </c>
      <c r="E17" s="431">
        <v>95855.1</v>
      </c>
      <c r="F17" s="739">
        <v>97394.2</v>
      </c>
      <c r="G17" s="738">
        <v>100111.9</v>
      </c>
    </row>
    <row r="18" spans="1:7" s="622" customFormat="1">
      <c r="A18" s="617" t="s">
        <v>232</v>
      </c>
      <c r="B18" s="586"/>
      <c r="C18" s="616" t="s">
        <v>231</v>
      </c>
      <c r="D18" s="438">
        <v>769.3</v>
      </c>
      <c r="E18" s="438">
        <v>925</v>
      </c>
      <c r="F18" s="741">
        <v>1251.8</v>
      </c>
      <c r="G18" s="738">
        <v>1075</v>
      </c>
    </row>
    <row r="19" spans="1:7" s="622" customFormat="1">
      <c r="A19" s="617" t="s">
        <v>230</v>
      </c>
      <c r="B19" s="586"/>
      <c r="C19" s="616" t="s">
        <v>229</v>
      </c>
      <c r="D19" s="438">
        <v>55381.8</v>
      </c>
      <c r="E19" s="438">
        <v>59584.9</v>
      </c>
      <c r="F19" s="741">
        <v>55087</v>
      </c>
      <c r="G19" s="738">
        <v>60387.9</v>
      </c>
    </row>
    <row r="20" spans="1:7" s="480" customFormat="1" ht="12.75" customHeight="1">
      <c r="A20" s="615">
        <v>39</v>
      </c>
      <c r="B20" s="614"/>
      <c r="C20" s="583" t="s">
        <v>228</v>
      </c>
      <c r="D20" s="333">
        <v>178.9</v>
      </c>
      <c r="E20" s="333">
        <v>175.5</v>
      </c>
      <c r="F20" s="711">
        <v>177.4</v>
      </c>
      <c r="G20" s="740">
        <v>166.8</v>
      </c>
    </row>
    <row r="21" spans="1:7" ht="12.75" customHeight="1">
      <c r="A21" s="578"/>
      <c r="B21" s="578"/>
      <c r="C21" s="576" t="s">
        <v>227</v>
      </c>
      <c r="D21" s="380">
        <f>D4+D5+SUM(D8:D13)+D17</f>
        <v>2475189.1999999997</v>
      </c>
      <c r="E21" s="380">
        <f>E4+E5+SUM(E8:E13)+E17</f>
        <v>2508765.8000000003</v>
      </c>
      <c r="F21" s="731">
        <f>F4+F5+SUM(F8:F13)+F17</f>
        <v>2522229.5000000005</v>
      </c>
      <c r="G21" s="731">
        <f>G4+G5+SUM(G8:G13)+G17</f>
        <v>2576729.6</v>
      </c>
    </row>
    <row r="22" spans="1:7" s="480" customFormat="1" ht="12.75" customHeight="1">
      <c r="A22" s="593" t="s">
        <v>226</v>
      </c>
      <c r="B22" s="587"/>
      <c r="C22" s="585" t="s">
        <v>225</v>
      </c>
      <c r="D22" s="317">
        <v>1389772.7</v>
      </c>
      <c r="E22" s="317">
        <v>1450850</v>
      </c>
      <c r="F22" s="702">
        <v>1415240.6</v>
      </c>
      <c r="G22" s="702">
        <v>1488455</v>
      </c>
    </row>
    <row r="23" spans="1:7" s="480" customFormat="1" ht="12.75" customHeight="1">
      <c r="A23" s="593" t="s">
        <v>224</v>
      </c>
      <c r="B23" s="587"/>
      <c r="C23" s="585" t="s">
        <v>223</v>
      </c>
      <c r="D23" s="317">
        <v>190184.2</v>
      </c>
      <c r="E23" s="317">
        <v>191700</v>
      </c>
      <c r="F23" s="702">
        <v>202380.1</v>
      </c>
      <c r="G23" s="702">
        <v>199300</v>
      </c>
    </row>
    <row r="24" spans="1:7" s="621" customFormat="1" ht="12.75" customHeight="1">
      <c r="A24" s="591">
        <v>41</v>
      </c>
      <c r="B24" s="587"/>
      <c r="C24" s="585" t="s">
        <v>222</v>
      </c>
      <c r="D24" s="317">
        <v>31173.5</v>
      </c>
      <c r="E24" s="317">
        <v>30683</v>
      </c>
      <c r="F24" s="702">
        <v>7649.1</v>
      </c>
      <c r="G24" s="702">
        <v>31059</v>
      </c>
    </row>
    <row r="25" spans="1:7" s="480" customFormat="1" ht="12.75" customHeight="1">
      <c r="A25" s="620">
        <v>42</v>
      </c>
      <c r="B25" s="619"/>
      <c r="C25" s="585" t="s">
        <v>221</v>
      </c>
      <c r="D25" s="317">
        <v>137046.9</v>
      </c>
      <c r="E25" s="317">
        <v>150492.20000000001</v>
      </c>
      <c r="F25" s="702">
        <v>134954.70000000001</v>
      </c>
      <c r="G25" s="702">
        <v>151975.29999999999</v>
      </c>
    </row>
    <row r="26" spans="1:7" s="618" customFormat="1" ht="12.75" customHeight="1">
      <c r="A26" s="597">
        <v>430</v>
      </c>
      <c r="B26" s="587"/>
      <c r="C26" s="585" t="s">
        <v>220</v>
      </c>
      <c r="D26" s="431">
        <v>2044.2</v>
      </c>
      <c r="E26" s="431">
        <v>1533.8</v>
      </c>
      <c r="F26" s="739">
        <v>2222.1</v>
      </c>
      <c r="G26" s="739">
        <v>1522</v>
      </c>
    </row>
    <row r="27" spans="1:7" s="618" customFormat="1" ht="12.75" customHeight="1">
      <c r="A27" s="597">
        <v>431</v>
      </c>
      <c r="B27" s="587"/>
      <c r="C27" s="585" t="s">
        <v>219</v>
      </c>
      <c r="D27" s="431">
        <v>0</v>
      </c>
      <c r="E27" s="431">
        <v>0</v>
      </c>
      <c r="F27" s="739">
        <v>0</v>
      </c>
      <c r="G27" s="739">
        <v>0</v>
      </c>
    </row>
    <row r="28" spans="1:7" s="618" customFormat="1" ht="12.75" customHeight="1">
      <c r="A28" s="597">
        <v>432</v>
      </c>
      <c r="B28" s="587"/>
      <c r="C28" s="585" t="s">
        <v>218</v>
      </c>
      <c r="D28" s="431">
        <v>0</v>
      </c>
      <c r="E28" s="431">
        <v>0</v>
      </c>
      <c r="F28" s="739">
        <v>0</v>
      </c>
      <c r="G28" s="739">
        <v>0</v>
      </c>
    </row>
    <row r="29" spans="1:7" s="618" customFormat="1" ht="12.75" customHeight="1">
      <c r="A29" s="597">
        <v>439</v>
      </c>
      <c r="B29" s="587"/>
      <c r="C29" s="585" t="s">
        <v>217</v>
      </c>
      <c r="D29" s="431">
        <v>228.7</v>
      </c>
      <c r="E29" s="431">
        <v>196</v>
      </c>
      <c r="F29" s="739">
        <v>1219.8</v>
      </c>
      <c r="G29" s="739">
        <v>352</v>
      </c>
    </row>
    <row r="30" spans="1:7" s="480" customFormat="1" ht="25.5">
      <c r="A30" s="597">
        <v>450</v>
      </c>
      <c r="B30" s="596"/>
      <c r="C30" s="589" t="s">
        <v>216</v>
      </c>
      <c r="D30" s="362">
        <v>1845</v>
      </c>
      <c r="E30" s="362">
        <v>2323.8000000000002</v>
      </c>
      <c r="F30" s="738">
        <v>2247.4</v>
      </c>
      <c r="G30" s="738">
        <v>1981.2</v>
      </c>
    </row>
    <row r="31" spans="1:7" s="579" customFormat="1" ht="25.5">
      <c r="A31" s="597">
        <v>451</v>
      </c>
      <c r="B31" s="596"/>
      <c r="C31" s="589" t="s">
        <v>215</v>
      </c>
      <c r="D31" s="311">
        <v>59410.9</v>
      </c>
      <c r="E31" s="311">
        <v>0</v>
      </c>
      <c r="F31" s="701">
        <v>0.5</v>
      </c>
      <c r="G31" s="701">
        <v>0</v>
      </c>
    </row>
    <row r="32" spans="1:7" s="480" customFormat="1" ht="12.75" customHeight="1">
      <c r="A32" s="591">
        <v>46</v>
      </c>
      <c r="B32" s="587"/>
      <c r="C32" s="585" t="s">
        <v>214</v>
      </c>
      <c r="D32" s="317">
        <v>446531.3</v>
      </c>
      <c r="E32" s="317">
        <v>466069.3</v>
      </c>
      <c r="F32" s="702">
        <v>452651.2</v>
      </c>
      <c r="G32" s="702">
        <v>505827.1</v>
      </c>
    </row>
    <row r="33" spans="1:7" s="579" customFormat="1" ht="12.75" customHeight="1">
      <c r="A33" s="617" t="s">
        <v>213</v>
      </c>
      <c r="B33" s="586"/>
      <c r="C33" s="616" t="s">
        <v>212</v>
      </c>
      <c r="D33" s="322">
        <v>0</v>
      </c>
      <c r="E33" s="322">
        <v>0</v>
      </c>
      <c r="F33" s="704">
        <v>0</v>
      </c>
      <c r="G33" s="704">
        <v>0</v>
      </c>
    </row>
    <row r="34" spans="1:7" s="480" customFormat="1" ht="15" customHeight="1">
      <c r="A34" s="591">
        <v>47</v>
      </c>
      <c r="B34" s="587"/>
      <c r="C34" s="585" t="s">
        <v>211</v>
      </c>
      <c r="D34" s="317">
        <v>95811.4</v>
      </c>
      <c r="E34" s="317">
        <v>95855.1</v>
      </c>
      <c r="F34" s="702">
        <v>97394.3</v>
      </c>
      <c r="G34" s="702">
        <v>100111.9</v>
      </c>
    </row>
    <row r="35" spans="1:7" s="480" customFormat="1" ht="15" customHeight="1">
      <c r="A35" s="615">
        <v>49</v>
      </c>
      <c r="B35" s="614"/>
      <c r="C35" s="583" t="s">
        <v>210</v>
      </c>
      <c r="D35" s="333">
        <v>178.9</v>
      </c>
      <c r="E35" s="333">
        <v>175.5</v>
      </c>
      <c r="F35" s="711">
        <v>177.4</v>
      </c>
      <c r="G35" s="711">
        <v>166.8</v>
      </c>
    </row>
    <row r="36" spans="1:7" ht="13.5" customHeight="1">
      <c r="A36" s="578"/>
      <c r="B36" s="606"/>
      <c r="C36" s="576" t="s">
        <v>209</v>
      </c>
      <c r="D36" s="380">
        <f>D22+D23+D24+D25+D26+D27+D28+D29+D30+D31+D32+D34</f>
        <v>2354048.7999999993</v>
      </c>
      <c r="E36" s="380">
        <f>E22+E23+E24+E25+E26+E27+E28+E29+E30+E31+E32+E34</f>
        <v>2389703.2000000002</v>
      </c>
      <c r="F36" s="731">
        <f>F22+F23+F24+F25+F26+F27+F28+F29+F30+F31+F32+F34</f>
        <v>2315959.8000000003</v>
      </c>
      <c r="G36" s="731">
        <f>G22+G23+G24+G25+G26+G27+G28+G29+G30+G31+G32+G34</f>
        <v>2480583.5</v>
      </c>
    </row>
    <row r="37" spans="1:7" s="667" customFormat="1" ht="15" customHeight="1">
      <c r="A37" s="578"/>
      <c r="B37" s="606"/>
      <c r="C37" s="576" t="s">
        <v>208</v>
      </c>
      <c r="D37" s="380">
        <f>D36-D21</f>
        <v>-121140.40000000037</v>
      </c>
      <c r="E37" s="380">
        <f>E36-E21</f>
        <v>-119062.60000000009</v>
      </c>
      <c r="F37" s="731">
        <f>F36-F21</f>
        <v>-206269.70000000019</v>
      </c>
      <c r="G37" s="731">
        <f>G36-G21</f>
        <v>-96146.100000000093</v>
      </c>
    </row>
    <row r="38" spans="1:7" s="579" customFormat="1" ht="15" customHeight="1">
      <c r="A38" s="593">
        <v>340</v>
      </c>
      <c r="B38" s="587"/>
      <c r="C38" s="585" t="s">
        <v>207</v>
      </c>
      <c r="D38" s="317">
        <v>29004.400000000001</v>
      </c>
      <c r="E38" s="317">
        <v>28474.5</v>
      </c>
      <c r="F38" s="702">
        <v>29054.3</v>
      </c>
      <c r="G38" s="702">
        <v>54756.5</v>
      </c>
    </row>
    <row r="39" spans="1:7" s="579" customFormat="1" ht="15" customHeight="1">
      <c r="A39" s="593">
        <v>341</v>
      </c>
      <c r="B39" s="587"/>
      <c r="C39" s="585" t="s">
        <v>206</v>
      </c>
      <c r="D39" s="317">
        <v>65.7</v>
      </c>
      <c r="E39" s="317">
        <v>20.6</v>
      </c>
      <c r="F39" s="702">
        <v>827.3</v>
      </c>
      <c r="G39" s="702">
        <v>10.7</v>
      </c>
    </row>
    <row r="40" spans="1:7" s="579" customFormat="1" ht="15" customHeight="1">
      <c r="A40" s="593">
        <v>342</v>
      </c>
      <c r="B40" s="587"/>
      <c r="C40" s="585" t="s">
        <v>205</v>
      </c>
      <c r="D40" s="317">
        <v>782.7</v>
      </c>
      <c r="E40" s="317">
        <v>1070.3</v>
      </c>
      <c r="F40" s="702">
        <v>756.3</v>
      </c>
      <c r="G40" s="702">
        <v>728.6</v>
      </c>
    </row>
    <row r="41" spans="1:7" s="579" customFormat="1" ht="15" customHeight="1">
      <c r="A41" s="593">
        <v>343</v>
      </c>
      <c r="B41" s="587"/>
      <c r="C41" s="585" t="s">
        <v>204</v>
      </c>
      <c r="D41" s="317">
        <v>742.1</v>
      </c>
      <c r="E41" s="317">
        <v>926.3</v>
      </c>
      <c r="F41" s="702">
        <v>1053.3</v>
      </c>
      <c r="G41" s="702">
        <v>1226</v>
      </c>
    </row>
    <row r="42" spans="1:7" s="579" customFormat="1" ht="15" customHeight="1">
      <c r="A42" s="593">
        <v>344</v>
      </c>
      <c r="B42" s="587"/>
      <c r="C42" s="585" t="s">
        <v>198</v>
      </c>
      <c r="D42" s="317">
        <v>1157.3</v>
      </c>
      <c r="E42" s="317">
        <v>0</v>
      </c>
      <c r="F42" s="702">
        <v>0</v>
      </c>
      <c r="G42" s="702">
        <v>0</v>
      </c>
    </row>
    <row r="43" spans="1:7" s="579" customFormat="1" ht="15" customHeight="1">
      <c r="A43" s="593">
        <v>349</v>
      </c>
      <c r="B43" s="587"/>
      <c r="C43" s="585" t="s">
        <v>203</v>
      </c>
      <c r="D43" s="317">
        <v>-482.9</v>
      </c>
      <c r="E43" s="317">
        <v>2000.1</v>
      </c>
      <c r="F43" s="702">
        <v>-201.2</v>
      </c>
      <c r="G43" s="702">
        <v>800.1</v>
      </c>
    </row>
    <row r="44" spans="1:7" s="480" customFormat="1" ht="15" customHeight="1">
      <c r="A44" s="591">
        <v>440</v>
      </c>
      <c r="B44" s="587"/>
      <c r="C44" s="585" t="s">
        <v>202</v>
      </c>
      <c r="D44" s="317">
        <v>22927.9</v>
      </c>
      <c r="E44" s="317">
        <v>17425.099999999999</v>
      </c>
      <c r="F44" s="702">
        <v>21058.1</v>
      </c>
      <c r="G44" s="702">
        <v>18876.900000000001</v>
      </c>
    </row>
    <row r="45" spans="1:7" s="480" customFormat="1" ht="15" customHeight="1">
      <c r="A45" s="591">
        <v>441</v>
      </c>
      <c r="B45" s="587"/>
      <c r="C45" s="585" t="s">
        <v>201</v>
      </c>
      <c r="D45" s="317">
        <v>3926.1</v>
      </c>
      <c r="E45" s="317">
        <v>1200</v>
      </c>
      <c r="F45" s="702">
        <v>2740.5</v>
      </c>
      <c r="G45" s="702">
        <v>1300</v>
      </c>
    </row>
    <row r="46" spans="1:7" s="480" customFormat="1" ht="15" customHeight="1">
      <c r="A46" s="591">
        <v>442</v>
      </c>
      <c r="B46" s="587"/>
      <c r="C46" s="585" t="s">
        <v>200</v>
      </c>
      <c r="D46" s="317">
        <v>4.3</v>
      </c>
      <c r="E46" s="317">
        <v>4</v>
      </c>
      <c r="F46" s="702">
        <v>4.3</v>
      </c>
      <c r="G46" s="702">
        <v>0</v>
      </c>
    </row>
    <row r="47" spans="1:7" s="480" customFormat="1" ht="15" customHeight="1">
      <c r="A47" s="591">
        <v>443</v>
      </c>
      <c r="B47" s="587"/>
      <c r="C47" s="585" t="s">
        <v>199</v>
      </c>
      <c r="D47" s="317">
        <v>15093.9</v>
      </c>
      <c r="E47" s="317">
        <v>9995</v>
      </c>
      <c r="F47" s="702">
        <v>12835.4</v>
      </c>
      <c r="G47" s="702">
        <v>10462</v>
      </c>
    </row>
    <row r="48" spans="1:7" s="480" customFormat="1" ht="15" customHeight="1">
      <c r="A48" s="591">
        <v>444</v>
      </c>
      <c r="B48" s="587"/>
      <c r="C48" s="585" t="s">
        <v>198</v>
      </c>
      <c r="D48" s="317">
        <v>284.7</v>
      </c>
      <c r="E48" s="317">
        <v>0</v>
      </c>
      <c r="F48" s="702">
        <v>50</v>
      </c>
      <c r="G48" s="702">
        <v>50</v>
      </c>
    </row>
    <row r="49" spans="1:7" s="480" customFormat="1" ht="15" customHeight="1">
      <c r="A49" s="591">
        <v>445</v>
      </c>
      <c r="B49" s="587"/>
      <c r="C49" s="585" t="s">
        <v>197</v>
      </c>
      <c r="D49" s="317">
        <v>4066.1</v>
      </c>
      <c r="E49" s="317">
        <v>3950</v>
      </c>
      <c r="F49" s="702">
        <v>4064.6</v>
      </c>
      <c r="G49" s="702">
        <v>3940</v>
      </c>
    </row>
    <row r="50" spans="1:7" s="480" customFormat="1" ht="15" customHeight="1">
      <c r="A50" s="591">
        <v>446</v>
      </c>
      <c r="B50" s="587"/>
      <c r="C50" s="585" t="s">
        <v>196</v>
      </c>
      <c r="D50" s="317">
        <v>53239.4</v>
      </c>
      <c r="E50" s="317">
        <v>55160</v>
      </c>
      <c r="F50" s="702">
        <v>53563.199999999997</v>
      </c>
      <c r="G50" s="702">
        <v>55140</v>
      </c>
    </row>
    <row r="51" spans="1:7" s="480" customFormat="1" ht="15" customHeight="1">
      <c r="A51" s="591">
        <v>447</v>
      </c>
      <c r="B51" s="587"/>
      <c r="C51" s="585" t="s">
        <v>195</v>
      </c>
      <c r="D51" s="317">
        <v>14465.5</v>
      </c>
      <c r="E51" s="317">
        <v>12842.1</v>
      </c>
      <c r="F51" s="702">
        <v>12337.8</v>
      </c>
      <c r="G51" s="702">
        <v>12806.1</v>
      </c>
    </row>
    <row r="52" spans="1:7" s="480" customFormat="1" ht="15" customHeight="1">
      <c r="A52" s="591">
        <v>448</v>
      </c>
      <c r="B52" s="587"/>
      <c r="C52" s="585" t="s">
        <v>194</v>
      </c>
      <c r="D52" s="317">
        <v>0</v>
      </c>
      <c r="E52" s="317">
        <v>0</v>
      </c>
      <c r="F52" s="702">
        <v>0</v>
      </c>
      <c r="G52" s="702">
        <v>0</v>
      </c>
    </row>
    <row r="53" spans="1:7" s="480" customFormat="1" ht="15" customHeight="1">
      <c r="A53" s="591">
        <v>449</v>
      </c>
      <c r="B53" s="587"/>
      <c r="C53" s="585" t="s">
        <v>193</v>
      </c>
      <c r="D53" s="317">
        <v>16643.8</v>
      </c>
      <c r="E53" s="317">
        <v>0</v>
      </c>
      <c r="F53" s="702">
        <v>0</v>
      </c>
      <c r="G53" s="702">
        <v>0</v>
      </c>
    </row>
    <row r="54" spans="1:7" s="579" customFormat="1" ht="13.5" customHeight="1">
      <c r="A54" s="607" t="s">
        <v>192</v>
      </c>
      <c r="B54" s="580"/>
      <c r="C54" s="580" t="s">
        <v>191</v>
      </c>
      <c r="D54" s="300">
        <v>16643.8</v>
      </c>
      <c r="E54" s="300">
        <v>0</v>
      </c>
      <c r="F54" s="697">
        <v>0</v>
      </c>
      <c r="G54" s="697">
        <v>0</v>
      </c>
    </row>
    <row r="55" spans="1:7" ht="15" customHeight="1">
      <c r="A55" s="606"/>
      <c r="B55" s="606"/>
      <c r="C55" s="576" t="s">
        <v>55</v>
      </c>
      <c r="D55" s="380">
        <f>SUM(D44:D53)-SUM(D38:D43)</f>
        <v>99382.399999999994</v>
      </c>
      <c r="E55" s="380">
        <f>SUM(E44:E53)-SUM(E38:E43)</f>
        <v>68084.400000000023</v>
      </c>
      <c r="F55" s="731">
        <f>SUM(F44:F53)-SUM(F38:F43)</f>
        <v>75163.899999999994</v>
      </c>
      <c r="G55" s="731">
        <f>SUM(G44:G53)-SUM(G38:G43)</f>
        <v>45053.100000000006</v>
      </c>
    </row>
    <row r="56" spans="1:7" ht="14.25" customHeight="1">
      <c r="A56" s="606"/>
      <c r="B56" s="606"/>
      <c r="C56" s="576" t="s">
        <v>190</v>
      </c>
      <c r="D56" s="380">
        <f>D55+D37</f>
        <v>-21758.000000000378</v>
      </c>
      <c r="E56" s="380">
        <f>E55+E37</f>
        <v>-50978.20000000007</v>
      </c>
      <c r="F56" s="731">
        <f>F55+F37</f>
        <v>-131105.80000000019</v>
      </c>
      <c r="G56" s="731">
        <f>G55+G37</f>
        <v>-51093.000000000087</v>
      </c>
    </row>
    <row r="57" spans="1:7" s="480" customFormat="1" ht="15.75" customHeight="1">
      <c r="A57" s="605">
        <v>380</v>
      </c>
      <c r="B57" s="604"/>
      <c r="C57" s="603" t="s">
        <v>189</v>
      </c>
      <c r="D57" s="735">
        <v>10215.1</v>
      </c>
      <c r="E57" s="735">
        <v>1352440</v>
      </c>
      <c r="F57" s="736">
        <v>1512136.7</v>
      </c>
      <c r="G57" s="736">
        <v>0</v>
      </c>
    </row>
    <row r="58" spans="1:7" s="480" customFormat="1" ht="15.75" customHeight="1">
      <c r="A58" s="605">
        <v>381</v>
      </c>
      <c r="B58" s="604"/>
      <c r="C58" s="603" t="s">
        <v>188</v>
      </c>
      <c r="D58" s="735">
        <v>0</v>
      </c>
      <c r="E58" s="735">
        <v>0</v>
      </c>
      <c r="F58" s="736">
        <v>0</v>
      </c>
      <c r="G58" s="736">
        <v>0</v>
      </c>
    </row>
    <row r="59" spans="1:7" s="579" customFormat="1" ht="25.5">
      <c r="A59" s="605">
        <v>383</v>
      </c>
      <c r="B59" s="596"/>
      <c r="C59" s="589" t="s">
        <v>187</v>
      </c>
      <c r="D59" s="343">
        <v>0</v>
      </c>
      <c r="E59" s="343">
        <v>0</v>
      </c>
      <c r="F59" s="714">
        <v>0</v>
      </c>
      <c r="G59" s="714">
        <v>0</v>
      </c>
    </row>
    <row r="60" spans="1:7" s="579" customFormat="1">
      <c r="A60" s="597">
        <v>3840</v>
      </c>
      <c r="B60" s="596"/>
      <c r="C60" s="589" t="s">
        <v>186</v>
      </c>
      <c r="D60" s="401">
        <v>0</v>
      </c>
      <c r="E60" s="401">
        <v>0</v>
      </c>
      <c r="F60" s="734">
        <v>0</v>
      </c>
      <c r="G60" s="734">
        <v>0</v>
      </c>
    </row>
    <row r="61" spans="1:7" s="579" customFormat="1">
      <c r="A61" s="597">
        <v>3841</v>
      </c>
      <c r="B61" s="596"/>
      <c r="C61" s="589" t="s">
        <v>185</v>
      </c>
      <c r="D61" s="401">
        <v>0</v>
      </c>
      <c r="E61" s="401">
        <v>0</v>
      </c>
      <c r="F61" s="734">
        <v>0</v>
      </c>
      <c r="G61" s="734">
        <v>0</v>
      </c>
    </row>
    <row r="62" spans="1:7" s="579" customFormat="1">
      <c r="A62" s="597">
        <v>386</v>
      </c>
      <c r="B62" s="599"/>
      <c r="C62" s="598" t="s">
        <v>184</v>
      </c>
      <c r="D62" s="401">
        <v>0</v>
      </c>
      <c r="E62" s="401">
        <v>0</v>
      </c>
      <c r="F62" s="734">
        <v>0</v>
      </c>
      <c r="G62" s="734">
        <v>0</v>
      </c>
    </row>
    <row r="63" spans="1:7" s="579" customFormat="1" ht="25.5">
      <c r="A63" s="600">
        <v>387</v>
      </c>
      <c r="B63" s="596"/>
      <c r="C63" s="589" t="s">
        <v>183</v>
      </c>
      <c r="D63" s="401">
        <v>0</v>
      </c>
      <c r="E63" s="401">
        <v>0</v>
      </c>
      <c r="F63" s="734">
        <v>0</v>
      </c>
      <c r="G63" s="734">
        <v>0</v>
      </c>
    </row>
    <row r="64" spans="1:7" s="579" customFormat="1">
      <c r="A64" s="597">
        <v>389</v>
      </c>
      <c r="B64" s="733"/>
      <c r="C64" s="616" t="s">
        <v>182</v>
      </c>
      <c r="D64" s="322">
        <v>0</v>
      </c>
      <c r="E64" s="322">
        <v>0</v>
      </c>
      <c r="F64" s="704">
        <v>0</v>
      </c>
      <c r="G64" s="704">
        <v>0</v>
      </c>
    </row>
    <row r="65" spans="1:7" s="480" customFormat="1">
      <c r="A65" s="732" t="s">
        <v>181</v>
      </c>
      <c r="B65" s="587"/>
      <c r="C65" s="585" t="s">
        <v>180</v>
      </c>
      <c r="D65" s="317">
        <v>0</v>
      </c>
      <c r="E65" s="317">
        <v>0</v>
      </c>
      <c r="F65" s="702">
        <v>0</v>
      </c>
      <c r="G65" s="702">
        <v>0</v>
      </c>
    </row>
    <row r="66" spans="1:7" s="588" customFormat="1">
      <c r="A66" s="732" t="s">
        <v>179</v>
      </c>
      <c r="B66" s="590"/>
      <c r="C66" s="589" t="s">
        <v>178</v>
      </c>
      <c r="D66" s="343">
        <v>0</v>
      </c>
      <c r="E66" s="343">
        <v>0</v>
      </c>
      <c r="F66" s="714">
        <v>0</v>
      </c>
      <c r="G66" s="714">
        <v>0</v>
      </c>
    </row>
    <row r="67" spans="1:7" s="480" customFormat="1">
      <c r="A67" s="584">
        <v>481</v>
      </c>
      <c r="B67" s="587"/>
      <c r="C67" s="585" t="s">
        <v>177</v>
      </c>
      <c r="D67" s="317">
        <v>0</v>
      </c>
      <c r="E67" s="317">
        <v>0</v>
      </c>
      <c r="F67" s="702">
        <v>0</v>
      </c>
      <c r="G67" s="702">
        <v>0</v>
      </c>
    </row>
    <row r="68" spans="1:7" s="480" customFormat="1">
      <c r="A68" s="584">
        <v>482</v>
      </c>
      <c r="B68" s="587"/>
      <c r="C68" s="585" t="s">
        <v>176</v>
      </c>
      <c r="D68" s="317">
        <v>0</v>
      </c>
      <c r="E68" s="317">
        <v>0</v>
      </c>
      <c r="F68" s="702">
        <v>0</v>
      </c>
      <c r="G68" s="702">
        <v>0</v>
      </c>
    </row>
    <row r="69" spans="1:7" s="480" customFormat="1">
      <c r="A69" s="584">
        <v>483</v>
      </c>
      <c r="B69" s="587"/>
      <c r="C69" s="585" t="s">
        <v>175</v>
      </c>
      <c r="D69" s="317">
        <v>0</v>
      </c>
      <c r="E69" s="317">
        <v>459400</v>
      </c>
      <c r="F69" s="702">
        <v>459445.9</v>
      </c>
      <c r="G69" s="702">
        <v>5930</v>
      </c>
    </row>
    <row r="70" spans="1:7" s="480" customFormat="1">
      <c r="A70" s="584">
        <v>484</v>
      </c>
      <c r="B70" s="587"/>
      <c r="C70" s="585" t="s">
        <v>174</v>
      </c>
      <c r="D70" s="317">
        <v>0</v>
      </c>
      <c r="E70" s="317">
        <v>0</v>
      </c>
      <c r="F70" s="702">
        <v>0</v>
      </c>
      <c r="G70" s="702">
        <v>0</v>
      </c>
    </row>
    <row r="71" spans="1:7" s="480" customFormat="1">
      <c r="A71" s="584">
        <v>485</v>
      </c>
      <c r="B71" s="587"/>
      <c r="C71" s="585" t="s">
        <v>173</v>
      </c>
      <c r="D71" s="317">
        <v>0</v>
      </c>
      <c r="E71" s="317">
        <v>0</v>
      </c>
      <c r="F71" s="702">
        <v>0</v>
      </c>
      <c r="G71" s="702">
        <v>0</v>
      </c>
    </row>
    <row r="72" spans="1:7" s="480" customFormat="1">
      <c r="A72" s="584">
        <v>486</v>
      </c>
      <c r="B72" s="587"/>
      <c r="C72" s="585" t="s">
        <v>172</v>
      </c>
      <c r="D72" s="317">
        <v>0</v>
      </c>
      <c r="E72" s="317">
        <v>0</v>
      </c>
      <c r="F72" s="702">
        <v>0</v>
      </c>
      <c r="G72" s="702">
        <v>0</v>
      </c>
    </row>
    <row r="73" spans="1:7" s="579" customFormat="1">
      <c r="A73" s="584">
        <v>487</v>
      </c>
      <c r="B73" s="586"/>
      <c r="C73" s="585" t="s">
        <v>171</v>
      </c>
      <c r="D73" s="317">
        <v>0</v>
      </c>
      <c r="E73" s="317">
        <v>0</v>
      </c>
      <c r="F73" s="702">
        <v>0</v>
      </c>
      <c r="G73" s="702">
        <v>0</v>
      </c>
    </row>
    <row r="74" spans="1:7" s="579" customFormat="1">
      <c r="A74" s="584">
        <v>489</v>
      </c>
      <c r="B74" s="581"/>
      <c r="C74" s="583" t="s">
        <v>170</v>
      </c>
      <c r="D74" s="317">
        <v>27725.5</v>
      </c>
      <c r="E74" s="317">
        <v>10650</v>
      </c>
      <c r="F74" s="702">
        <v>13508.5</v>
      </c>
      <c r="G74" s="702">
        <v>10179.299999999999</v>
      </c>
    </row>
    <row r="75" spans="1:7" s="579" customFormat="1">
      <c r="A75" s="582" t="s">
        <v>169</v>
      </c>
      <c r="B75" s="581"/>
      <c r="C75" s="580" t="s">
        <v>168</v>
      </c>
      <c r="D75" s="317">
        <v>0</v>
      </c>
      <c r="E75" s="317">
        <v>0</v>
      </c>
      <c r="F75" s="702">
        <v>0</v>
      </c>
      <c r="G75" s="702">
        <v>0</v>
      </c>
    </row>
    <row r="76" spans="1:7">
      <c r="A76" s="578"/>
      <c r="B76" s="578"/>
      <c r="C76" s="576" t="s">
        <v>167</v>
      </c>
      <c r="D76" s="380">
        <f>SUM(D65:D74)-SUM(D57:D64)</f>
        <v>17510.400000000001</v>
      </c>
      <c r="E76" s="380">
        <f>SUM(E65:E74)-SUM(E57:E64)</f>
        <v>-882390</v>
      </c>
      <c r="F76" s="731">
        <f>SUM(F65:F74)-SUM(F57:F64)</f>
        <v>-1039182.2999999999</v>
      </c>
      <c r="G76" s="731">
        <f>SUM(G65:G74)-SUM(G57:G64)</f>
        <v>16109.3</v>
      </c>
    </row>
    <row r="77" spans="1:7">
      <c r="A77" s="577"/>
      <c r="B77" s="577"/>
      <c r="C77" s="576" t="s">
        <v>166</v>
      </c>
      <c r="D77" s="380">
        <f>D56+D76</f>
        <v>-4247.6000000003769</v>
      </c>
      <c r="E77" s="380">
        <f>E56+E76</f>
        <v>-933368.20000000007</v>
      </c>
      <c r="F77" s="731">
        <f>F56+F76</f>
        <v>-1170288.1000000001</v>
      </c>
      <c r="G77" s="731">
        <f>G56+G76</f>
        <v>-34983.700000000084</v>
      </c>
    </row>
    <row r="78" spans="1:7">
      <c r="A78" s="575">
        <v>3</v>
      </c>
      <c r="B78" s="575"/>
      <c r="C78" s="574" t="s">
        <v>165</v>
      </c>
      <c r="D78" s="377">
        <f>D20+D21+SUM(D38:D43)+SUM(D57:D64)</f>
        <v>2516852.4999999995</v>
      </c>
      <c r="E78" s="377">
        <f>E20+E21+SUM(E38:E43)+SUM(E57:E64)</f>
        <v>3893873.1</v>
      </c>
      <c r="F78" s="730">
        <f>F20+F21+SUM(F38:F43)+SUM(F57:F64)</f>
        <v>4066033.6000000006</v>
      </c>
      <c r="G78" s="730">
        <f>G20+G21+SUM(G38:G43)+SUM(G57:G64)</f>
        <v>2634418.2999999998</v>
      </c>
    </row>
    <row r="79" spans="1:7">
      <c r="A79" s="575">
        <v>4</v>
      </c>
      <c r="B79" s="575"/>
      <c r="C79" s="574" t="s">
        <v>164</v>
      </c>
      <c r="D79" s="377">
        <f>D35+D36+SUM(D44:D53)+SUM(D65:D74)</f>
        <v>2512604.8999999994</v>
      </c>
      <c r="E79" s="377">
        <f>E35+E36+SUM(E44:E53)+SUM(E65:E74)</f>
        <v>2960504.9000000004</v>
      </c>
      <c r="F79" s="730">
        <f>F35+F36+SUM(F44:F53)+SUM(F65:F74)</f>
        <v>2895745.5</v>
      </c>
      <c r="G79" s="730">
        <f>G35+G36+SUM(G44:G53)+SUM(G65:G74)</f>
        <v>2599434.5999999996</v>
      </c>
    </row>
    <row r="80" spans="1:7">
      <c r="A80" s="534"/>
      <c r="B80" s="534"/>
      <c r="C80" s="533"/>
      <c r="D80" s="260"/>
      <c r="E80" s="260"/>
      <c r="F80" s="677"/>
      <c r="G80" s="677"/>
    </row>
    <row r="81" spans="1:7">
      <c r="A81" s="951" t="s">
        <v>163</v>
      </c>
      <c r="B81" s="952"/>
      <c r="C81" s="952"/>
      <c r="D81" s="376"/>
      <c r="E81" s="375"/>
      <c r="F81" s="729"/>
      <c r="G81" s="728"/>
    </row>
    <row r="82" spans="1:7" s="480" customFormat="1">
      <c r="A82" s="567">
        <v>50</v>
      </c>
      <c r="B82" s="565"/>
      <c r="C82" s="565" t="s">
        <v>162</v>
      </c>
      <c r="D82" s="317">
        <v>234629.2</v>
      </c>
      <c r="E82" s="316">
        <v>161090</v>
      </c>
      <c r="F82" s="702">
        <v>145759.4</v>
      </c>
      <c r="G82" s="707">
        <v>161426</v>
      </c>
    </row>
    <row r="83" spans="1:7" s="480" customFormat="1">
      <c r="A83" s="567">
        <v>51</v>
      </c>
      <c r="B83" s="565"/>
      <c r="C83" s="565" t="s">
        <v>161</v>
      </c>
      <c r="D83" s="317">
        <v>0</v>
      </c>
      <c r="E83" s="316">
        <v>0</v>
      </c>
      <c r="F83" s="702">
        <v>0</v>
      </c>
      <c r="G83" s="707">
        <v>0</v>
      </c>
    </row>
    <row r="84" spans="1:7" s="480" customFormat="1">
      <c r="A84" s="567">
        <v>52</v>
      </c>
      <c r="B84" s="565"/>
      <c r="C84" s="565" t="s">
        <v>160</v>
      </c>
      <c r="D84" s="317">
        <v>0</v>
      </c>
      <c r="E84" s="316">
        <v>0</v>
      </c>
      <c r="F84" s="702">
        <v>0</v>
      </c>
      <c r="G84" s="707">
        <v>0</v>
      </c>
    </row>
    <row r="85" spans="1:7" s="480" customFormat="1">
      <c r="A85" s="571">
        <v>54</v>
      </c>
      <c r="B85" s="570"/>
      <c r="C85" s="570" t="s">
        <v>117</v>
      </c>
      <c r="D85" s="322">
        <v>1753.3</v>
      </c>
      <c r="E85" s="316">
        <v>13750</v>
      </c>
      <c r="F85" s="704">
        <v>12001.9</v>
      </c>
      <c r="G85" s="707">
        <v>19940</v>
      </c>
    </row>
    <row r="86" spans="1:7" s="480" customFormat="1">
      <c r="A86" s="571">
        <v>55</v>
      </c>
      <c r="B86" s="570"/>
      <c r="C86" s="570" t="s">
        <v>159</v>
      </c>
      <c r="D86" s="322">
        <v>18825.599999999999</v>
      </c>
      <c r="E86" s="316">
        <v>0</v>
      </c>
      <c r="F86" s="704">
        <v>0</v>
      </c>
      <c r="G86" s="707">
        <v>0</v>
      </c>
    </row>
    <row r="87" spans="1:7" s="480" customFormat="1">
      <c r="A87" s="571">
        <v>56</v>
      </c>
      <c r="B87" s="570"/>
      <c r="C87" s="570" t="s">
        <v>158</v>
      </c>
      <c r="D87" s="322">
        <v>44790.8</v>
      </c>
      <c r="E87" s="316">
        <v>72050</v>
      </c>
      <c r="F87" s="704">
        <v>59458.3</v>
      </c>
      <c r="G87" s="707">
        <v>63700</v>
      </c>
    </row>
    <row r="88" spans="1:7" s="480" customFormat="1">
      <c r="A88" s="567">
        <v>57</v>
      </c>
      <c r="B88" s="565"/>
      <c r="C88" s="565" t="s">
        <v>143</v>
      </c>
      <c r="D88" s="317">
        <v>0</v>
      </c>
      <c r="E88" s="316">
        <v>0</v>
      </c>
      <c r="F88" s="702">
        <v>0</v>
      </c>
      <c r="G88" s="707">
        <v>0</v>
      </c>
    </row>
    <row r="89" spans="1:7" s="480" customFormat="1">
      <c r="A89" s="567">
        <v>580</v>
      </c>
      <c r="B89" s="565"/>
      <c r="C89" s="565" t="s">
        <v>157</v>
      </c>
      <c r="D89" s="317">
        <v>0</v>
      </c>
      <c r="E89" s="316">
        <v>0</v>
      </c>
      <c r="F89" s="702">
        <v>0</v>
      </c>
      <c r="G89" s="707">
        <v>0</v>
      </c>
    </row>
    <row r="90" spans="1:7" s="480" customFormat="1">
      <c r="A90" s="567">
        <v>582</v>
      </c>
      <c r="B90" s="565"/>
      <c r="C90" s="565" t="s">
        <v>156</v>
      </c>
      <c r="D90" s="317">
        <v>0</v>
      </c>
      <c r="E90" s="316">
        <v>0</v>
      </c>
      <c r="F90" s="702">
        <v>0</v>
      </c>
      <c r="G90" s="707">
        <v>0</v>
      </c>
    </row>
    <row r="91" spans="1:7" s="480" customFormat="1">
      <c r="A91" s="567">
        <v>584</v>
      </c>
      <c r="B91" s="565"/>
      <c r="C91" s="565" t="s">
        <v>155</v>
      </c>
      <c r="D91" s="317">
        <v>0</v>
      </c>
      <c r="E91" s="316">
        <v>0</v>
      </c>
      <c r="F91" s="702">
        <v>0</v>
      </c>
      <c r="G91" s="707">
        <v>0</v>
      </c>
    </row>
    <row r="92" spans="1:7" s="480" customFormat="1">
      <c r="A92" s="567">
        <v>585</v>
      </c>
      <c r="B92" s="565"/>
      <c r="C92" s="565" t="s">
        <v>154</v>
      </c>
      <c r="D92" s="317">
        <v>0</v>
      </c>
      <c r="E92" s="316">
        <v>0</v>
      </c>
      <c r="F92" s="702">
        <v>0</v>
      </c>
      <c r="G92" s="707">
        <v>0</v>
      </c>
    </row>
    <row r="93" spans="1:7" s="480" customFormat="1">
      <c r="A93" s="567">
        <v>586</v>
      </c>
      <c r="B93" s="565"/>
      <c r="C93" s="565" t="s">
        <v>153</v>
      </c>
      <c r="D93" s="317">
        <v>0</v>
      </c>
      <c r="E93" s="316">
        <v>0</v>
      </c>
      <c r="F93" s="702">
        <v>0</v>
      </c>
      <c r="G93" s="707">
        <v>0</v>
      </c>
    </row>
    <row r="94" spans="1:7" s="480" customFormat="1">
      <c r="A94" s="568">
        <v>589</v>
      </c>
      <c r="B94" s="561"/>
      <c r="C94" s="561" t="s">
        <v>152</v>
      </c>
      <c r="D94" s="333">
        <v>0</v>
      </c>
      <c r="E94" s="372">
        <v>0</v>
      </c>
      <c r="F94" s="711">
        <v>0</v>
      </c>
      <c r="G94" s="727">
        <v>0</v>
      </c>
    </row>
    <row r="95" spans="1:7">
      <c r="A95" s="557">
        <v>5</v>
      </c>
      <c r="B95" s="555"/>
      <c r="C95" s="555" t="s">
        <v>151</v>
      </c>
      <c r="D95" s="348">
        <f>SUM(D82:D94)</f>
        <v>299998.90000000002</v>
      </c>
      <c r="E95" s="348">
        <f>SUM(E82:E94)</f>
        <v>246890</v>
      </c>
      <c r="F95" s="716">
        <f>SUM(F82:F94)</f>
        <v>217219.59999999998</v>
      </c>
      <c r="G95" s="716">
        <f>SUM(G82:G94)</f>
        <v>245066</v>
      </c>
    </row>
    <row r="96" spans="1:7" s="480" customFormat="1">
      <c r="A96" s="567">
        <v>60</v>
      </c>
      <c r="B96" s="565"/>
      <c r="C96" s="565" t="s">
        <v>150</v>
      </c>
      <c r="D96" s="317">
        <v>0</v>
      </c>
      <c r="E96" s="316">
        <v>0</v>
      </c>
      <c r="F96" s="702">
        <v>0</v>
      </c>
      <c r="G96" s="707">
        <v>0</v>
      </c>
    </row>
    <row r="97" spans="1:7" s="480" customFormat="1">
      <c r="A97" s="567">
        <v>61</v>
      </c>
      <c r="B97" s="565"/>
      <c r="C97" s="565" t="s">
        <v>149</v>
      </c>
      <c r="D97" s="317">
        <v>0</v>
      </c>
      <c r="E97" s="316">
        <v>0</v>
      </c>
      <c r="F97" s="702">
        <v>0</v>
      </c>
      <c r="G97" s="707">
        <v>0</v>
      </c>
    </row>
    <row r="98" spans="1:7" s="480" customFormat="1">
      <c r="A98" s="567">
        <v>62</v>
      </c>
      <c r="B98" s="565"/>
      <c r="C98" s="565" t="s">
        <v>148</v>
      </c>
      <c r="D98" s="317">
        <v>0</v>
      </c>
      <c r="E98" s="316">
        <v>0</v>
      </c>
      <c r="F98" s="702">
        <v>0</v>
      </c>
      <c r="G98" s="707">
        <v>0</v>
      </c>
    </row>
    <row r="99" spans="1:7" s="480" customFormat="1">
      <c r="A99" s="567">
        <v>63</v>
      </c>
      <c r="B99" s="565"/>
      <c r="C99" s="565" t="s">
        <v>147</v>
      </c>
      <c r="D99" s="317">
        <v>81635.3</v>
      </c>
      <c r="E99" s="316">
        <v>42690</v>
      </c>
      <c r="F99" s="702">
        <v>36651.699999999997</v>
      </c>
      <c r="G99" s="707">
        <v>41035</v>
      </c>
    </row>
    <row r="100" spans="1:7" s="480" customFormat="1">
      <c r="A100" s="571">
        <v>64</v>
      </c>
      <c r="B100" s="570"/>
      <c r="C100" s="570" t="s">
        <v>146</v>
      </c>
      <c r="D100" s="322">
        <v>0</v>
      </c>
      <c r="E100" s="316">
        <v>0</v>
      </c>
      <c r="F100" s="704">
        <v>0</v>
      </c>
      <c r="G100" s="707">
        <v>0</v>
      </c>
    </row>
    <row r="101" spans="1:7" s="480" customFormat="1">
      <c r="A101" s="571">
        <v>65</v>
      </c>
      <c r="B101" s="570"/>
      <c r="C101" s="570" t="s">
        <v>145</v>
      </c>
      <c r="D101" s="322">
        <v>1000</v>
      </c>
      <c r="E101" s="316">
        <v>0</v>
      </c>
      <c r="F101" s="704">
        <v>0</v>
      </c>
      <c r="G101" s="707">
        <v>0</v>
      </c>
    </row>
    <row r="102" spans="1:7" s="480" customFormat="1">
      <c r="A102" s="571">
        <v>66</v>
      </c>
      <c r="B102" s="570"/>
      <c r="C102" s="570" t="s">
        <v>144</v>
      </c>
      <c r="D102" s="322">
        <v>0</v>
      </c>
      <c r="E102" s="316">
        <v>0</v>
      </c>
      <c r="F102" s="704">
        <v>17.899999999999999</v>
      </c>
      <c r="G102" s="707">
        <v>0</v>
      </c>
    </row>
    <row r="103" spans="1:7" s="480" customFormat="1">
      <c r="A103" s="567">
        <v>67</v>
      </c>
      <c r="B103" s="565"/>
      <c r="C103" s="565" t="s">
        <v>143</v>
      </c>
      <c r="D103" s="317">
        <v>0</v>
      </c>
      <c r="E103" s="361">
        <v>0</v>
      </c>
      <c r="F103" s="702">
        <v>0</v>
      </c>
      <c r="G103" s="726">
        <v>0</v>
      </c>
    </row>
    <row r="104" spans="1:7" s="588" customFormat="1" ht="25.5">
      <c r="A104" s="566" t="s">
        <v>142</v>
      </c>
      <c r="B104" s="725"/>
      <c r="C104" s="564" t="s">
        <v>141</v>
      </c>
      <c r="D104" s="409">
        <v>0</v>
      </c>
      <c r="E104" s="563">
        <v>0</v>
      </c>
      <c r="F104" s="723">
        <v>0</v>
      </c>
      <c r="G104" s="722">
        <v>0</v>
      </c>
    </row>
    <row r="105" spans="1:7" s="588" customFormat="1" ht="38.25">
      <c r="A105" s="562" t="s">
        <v>140</v>
      </c>
      <c r="B105" s="721"/>
      <c r="C105" s="560" t="s">
        <v>139</v>
      </c>
      <c r="D105" s="559">
        <v>0</v>
      </c>
      <c r="E105" s="558">
        <v>0</v>
      </c>
      <c r="F105" s="718">
        <v>0</v>
      </c>
      <c r="G105" s="717">
        <v>0</v>
      </c>
    </row>
    <row r="106" spans="1:7">
      <c r="A106" s="557">
        <v>6</v>
      </c>
      <c r="B106" s="555"/>
      <c r="C106" s="555" t="s">
        <v>138</v>
      </c>
      <c r="D106" s="348">
        <f>SUM(D96:D105)</f>
        <v>82635.3</v>
      </c>
      <c r="E106" s="348">
        <f>SUM(E96:E105)</f>
        <v>42690</v>
      </c>
      <c r="F106" s="716">
        <f>SUM(F96:F105)</f>
        <v>36669.599999999999</v>
      </c>
      <c r="G106" s="716">
        <f>SUM(G96:G105)</f>
        <v>41035</v>
      </c>
    </row>
    <row r="107" spans="1:7">
      <c r="A107" s="556" t="s">
        <v>137</v>
      </c>
      <c r="B107" s="556"/>
      <c r="C107" s="555" t="s">
        <v>3</v>
      </c>
      <c r="D107" s="348">
        <f>(D95-D88)-(D106-D103)</f>
        <v>217363.60000000003</v>
      </c>
      <c r="E107" s="348">
        <f>(E95-E88)-(E106-E103)</f>
        <v>204200</v>
      </c>
      <c r="F107" s="716">
        <f>(F95-F88)-(F106-F103)</f>
        <v>180549.99999999997</v>
      </c>
      <c r="G107" s="716">
        <f>(G95-G88)-(G106-G103)</f>
        <v>204031</v>
      </c>
    </row>
    <row r="108" spans="1:7">
      <c r="A108" s="554" t="s">
        <v>136</v>
      </c>
      <c r="B108" s="554"/>
      <c r="C108" s="553" t="s">
        <v>135</v>
      </c>
      <c r="D108" s="552">
        <f>D107-D85-D86+D100+D101</f>
        <v>197784.70000000004</v>
      </c>
      <c r="E108" s="552">
        <f>E107-E85-E86+E100+E101</f>
        <v>190450</v>
      </c>
      <c r="F108" s="715">
        <f>F107-F85-F86+F100+F101</f>
        <v>168548.09999999998</v>
      </c>
      <c r="G108" s="715">
        <f>G107-G85-G86+G100+G101</f>
        <v>184091</v>
      </c>
    </row>
    <row r="109" spans="1:7">
      <c r="A109" s="534"/>
      <c r="B109" s="534"/>
      <c r="C109" s="533"/>
      <c r="D109" s="260"/>
      <c r="E109" s="260"/>
      <c r="F109" s="677"/>
      <c r="G109" s="677"/>
    </row>
    <row r="110" spans="1:7" s="512" customFormat="1">
      <c r="A110" s="550" t="s">
        <v>134</v>
      </c>
      <c r="B110" s="551"/>
      <c r="C110" s="550"/>
      <c r="D110" s="260"/>
      <c r="E110" s="260"/>
      <c r="F110" s="677"/>
      <c r="G110" s="677"/>
    </row>
    <row r="111" spans="1:7" s="516" customFormat="1">
      <c r="A111" s="532">
        <v>10</v>
      </c>
      <c r="B111" s="531"/>
      <c r="C111" s="531" t="s">
        <v>133</v>
      </c>
      <c r="D111" s="327">
        <f>D112+D117</f>
        <v>1749414.9999999998</v>
      </c>
      <c r="E111" s="326">
        <f>E112+E117</f>
        <v>0</v>
      </c>
      <c r="F111" s="706">
        <f>F112+F117</f>
        <v>1831418.7000000002</v>
      </c>
      <c r="G111" s="705">
        <f>G112+G117</f>
        <v>0</v>
      </c>
    </row>
    <row r="112" spans="1:7" s="516" customFormat="1">
      <c r="A112" s="539" t="s">
        <v>132</v>
      </c>
      <c r="B112" s="519"/>
      <c r="C112" s="519" t="s">
        <v>131</v>
      </c>
      <c r="D112" s="327">
        <f>D113+D114+D115+D116</f>
        <v>1341564.2999999998</v>
      </c>
      <c r="E112" s="326">
        <f>E113+E114+E115+E116</f>
        <v>0</v>
      </c>
      <c r="F112" s="706">
        <f>F113+F114+F115+F116</f>
        <v>1448256.1</v>
      </c>
      <c r="G112" s="705">
        <f>G113+G114+G115+G116</f>
        <v>0</v>
      </c>
    </row>
    <row r="113" spans="1:7" s="516" customFormat="1">
      <c r="A113" s="537" t="s">
        <v>130</v>
      </c>
      <c r="B113" s="526"/>
      <c r="C113" s="526" t="s">
        <v>129</v>
      </c>
      <c r="D113" s="317">
        <v>900228.2</v>
      </c>
      <c r="E113" s="316">
        <v>0</v>
      </c>
      <c r="F113" s="702">
        <v>905560.2</v>
      </c>
      <c r="G113" s="707">
        <v>0</v>
      </c>
    </row>
    <row r="114" spans="1:7" s="546" customFormat="1" ht="15" customHeight="1">
      <c r="A114" s="524">
        <v>102</v>
      </c>
      <c r="B114" s="665"/>
      <c r="C114" s="665" t="s">
        <v>128</v>
      </c>
      <c r="D114" s="343">
        <v>0</v>
      </c>
      <c r="E114" s="342">
        <v>0</v>
      </c>
      <c r="F114" s="714">
        <v>21308.2</v>
      </c>
      <c r="G114" s="713">
        <v>0</v>
      </c>
    </row>
    <row r="115" spans="1:7" s="516" customFormat="1">
      <c r="A115" s="537">
        <v>104</v>
      </c>
      <c r="B115" s="526"/>
      <c r="C115" s="526" t="s">
        <v>127</v>
      </c>
      <c r="D115" s="317">
        <v>436158.7</v>
      </c>
      <c r="E115" s="316">
        <v>0</v>
      </c>
      <c r="F115" s="702">
        <v>514492.1</v>
      </c>
      <c r="G115" s="707">
        <v>0</v>
      </c>
    </row>
    <row r="116" spans="1:7" s="516" customFormat="1">
      <c r="A116" s="537">
        <v>106</v>
      </c>
      <c r="B116" s="526"/>
      <c r="C116" s="526" t="s">
        <v>126</v>
      </c>
      <c r="D116" s="317">
        <v>5177.3999999999996</v>
      </c>
      <c r="E116" s="316">
        <v>0</v>
      </c>
      <c r="F116" s="702">
        <v>6895.6</v>
      </c>
      <c r="G116" s="707">
        <v>0</v>
      </c>
    </row>
    <row r="117" spans="1:7" s="516" customFormat="1">
      <c r="A117" s="539" t="s">
        <v>125</v>
      </c>
      <c r="B117" s="519"/>
      <c r="C117" s="519" t="s">
        <v>124</v>
      </c>
      <c r="D117" s="327">
        <f>D118+D119+D120</f>
        <v>407850.7</v>
      </c>
      <c r="E117" s="326">
        <f>E118+E119+E120</f>
        <v>0</v>
      </c>
      <c r="F117" s="706">
        <f>F118+F119+F120</f>
        <v>383162.60000000003</v>
      </c>
      <c r="G117" s="705">
        <f>G118+G119+G120</f>
        <v>0</v>
      </c>
    </row>
    <row r="118" spans="1:7" s="516" customFormat="1">
      <c r="A118" s="537">
        <v>107</v>
      </c>
      <c r="B118" s="526"/>
      <c r="C118" s="526" t="s">
        <v>123</v>
      </c>
      <c r="D118" s="317">
        <v>76616.2</v>
      </c>
      <c r="E118" s="316"/>
      <c r="F118" s="702">
        <v>36272.9</v>
      </c>
      <c r="G118" s="707"/>
    </row>
    <row r="119" spans="1:7" s="516" customFormat="1">
      <c r="A119" s="537">
        <v>108</v>
      </c>
      <c r="B119" s="526"/>
      <c r="C119" s="526" t="s">
        <v>122</v>
      </c>
      <c r="D119" s="317">
        <v>331234.5</v>
      </c>
      <c r="E119" s="316"/>
      <c r="F119" s="702">
        <v>346889.7</v>
      </c>
      <c r="G119" s="707"/>
    </row>
    <row r="120" spans="1:7" s="538" customFormat="1" ht="25.5">
      <c r="A120" s="524">
        <v>109</v>
      </c>
      <c r="B120" s="523"/>
      <c r="C120" s="523" t="s">
        <v>121</v>
      </c>
      <c r="D120" s="311">
        <v>0</v>
      </c>
      <c r="E120" s="310"/>
      <c r="F120" s="701">
        <v>0</v>
      </c>
      <c r="G120" s="712"/>
    </row>
    <row r="121" spans="1:7" s="516" customFormat="1">
      <c r="A121" s="539">
        <v>14</v>
      </c>
      <c r="B121" s="519"/>
      <c r="C121" s="519" t="s">
        <v>120</v>
      </c>
      <c r="D121" s="327">
        <f>SUM(D122:D130)</f>
        <v>2010334.9999999998</v>
      </c>
      <c r="E121" s="327">
        <f>SUM(E122:E130)</f>
        <v>0</v>
      </c>
      <c r="F121" s="706">
        <f>SUM(F122:F130)</f>
        <v>2114245.8000000003</v>
      </c>
      <c r="G121" s="706">
        <f>SUM(G122:G130)</f>
        <v>0</v>
      </c>
    </row>
    <row r="122" spans="1:7" s="516" customFormat="1">
      <c r="A122" s="537" t="s">
        <v>119</v>
      </c>
      <c r="B122" s="526"/>
      <c r="C122" s="526" t="s">
        <v>118</v>
      </c>
      <c r="D122" s="317">
        <v>1405294.9</v>
      </c>
      <c r="E122" s="316"/>
      <c r="F122" s="702">
        <v>1437268.5</v>
      </c>
      <c r="G122" s="707"/>
    </row>
    <row r="123" spans="1:7" s="516" customFormat="1">
      <c r="A123" s="537">
        <v>144</v>
      </c>
      <c r="B123" s="526"/>
      <c r="C123" s="526" t="s">
        <v>117</v>
      </c>
      <c r="D123" s="317">
        <v>201077.2</v>
      </c>
      <c r="E123" s="316"/>
      <c r="F123" s="702">
        <v>213079.1</v>
      </c>
      <c r="G123" s="707"/>
    </row>
    <row r="124" spans="1:7" s="516" customFormat="1">
      <c r="A124" s="537">
        <v>145</v>
      </c>
      <c r="B124" s="526"/>
      <c r="C124" s="526" t="s">
        <v>116</v>
      </c>
      <c r="D124" s="317">
        <v>359172.1</v>
      </c>
      <c r="E124" s="304"/>
      <c r="F124" s="702">
        <v>359172</v>
      </c>
      <c r="G124" s="698"/>
    </row>
    <row r="125" spans="1:7" s="516" customFormat="1">
      <c r="A125" s="537">
        <v>146</v>
      </c>
      <c r="B125" s="526"/>
      <c r="C125" s="526" t="s">
        <v>115</v>
      </c>
      <c r="D125" s="317">
        <v>44790.8</v>
      </c>
      <c r="E125" s="304"/>
      <c r="F125" s="702">
        <v>104726.2</v>
      </c>
      <c r="G125" s="698"/>
    </row>
    <row r="126" spans="1:7" s="538" customFormat="1" ht="29.45" customHeight="1">
      <c r="A126" s="524" t="s">
        <v>114</v>
      </c>
      <c r="B126" s="523"/>
      <c r="C126" s="523" t="s">
        <v>113</v>
      </c>
      <c r="D126" s="311">
        <v>0</v>
      </c>
      <c r="E126" s="339"/>
      <c r="F126" s="701">
        <v>0</v>
      </c>
      <c r="G126" s="700"/>
    </row>
    <row r="127" spans="1:7" s="516" customFormat="1">
      <c r="A127" s="537">
        <v>1484</v>
      </c>
      <c r="B127" s="526"/>
      <c r="C127" s="526" t="s">
        <v>112</v>
      </c>
      <c r="D127" s="317">
        <v>0</v>
      </c>
      <c r="E127" s="304"/>
      <c r="F127" s="702">
        <v>0</v>
      </c>
      <c r="G127" s="698"/>
    </row>
    <row r="128" spans="1:7" s="516" customFormat="1">
      <c r="A128" s="537">
        <v>1485</v>
      </c>
      <c r="B128" s="526"/>
      <c r="C128" s="526" t="s">
        <v>111</v>
      </c>
      <c r="D128" s="317">
        <v>0</v>
      </c>
      <c r="E128" s="304"/>
      <c r="F128" s="702">
        <v>0</v>
      </c>
      <c r="G128" s="698"/>
    </row>
    <row r="129" spans="1:7" s="516" customFormat="1">
      <c r="A129" s="537">
        <v>1486</v>
      </c>
      <c r="B129" s="526"/>
      <c r="C129" s="526" t="s">
        <v>110</v>
      </c>
      <c r="D129" s="317">
        <v>0</v>
      </c>
      <c r="E129" s="304"/>
      <c r="F129" s="702">
        <v>0</v>
      </c>
      <c r="G129" s="698"/>
    </row>
    <row r="130" spans="1:7" s="516" customFormat="1">
      <c r="A130" s="536">
        <v>1489</v>
      </c>
      <c r="B130" s="535"/>
      <c r="C130" s="535" t="s">
        <v>109</v>
      </c>
      <c r="D130" s="333">
        <v>0</v>
      </c>
      <c r="E130" s="332"/>
      <c r="F130" s="711">
        <v>0</v>
      </c>
      <c r="G130" s="710"/>
    </row>
    <row r="131" spans="1:7" s="512" customFormat="1">
      <c r="A131" s="515">
        <v>1</v>
      </c>
      <c r="B131" s="514"/>
      <c r="C131" s="515" t="s">
        <v>108</v>
      </c>
      <c r="D131" s="295">
        <f>D111+D121</f>
        <v>3759749.9999999995</v>
      </c>
      <c r="E131" s="295">
        <f>E111+E121</f>
        <v>0</v>
      </c>
      <c r="F131" s="695">
        <f>F111+F121</f>
        <v>3945664.5000000005</v>
      </c>
      <c r="G131" s="695">
        <f>G111+G121</f>
        <v>0</v>
      </c>
    </row>
    <row r="132" spans="1:7" s="512" customFormat="1">
      <c r="A132" s="534"/>
      <c r="B132" s="534"/>
      <c r="C132" s="533"/>
      <c r="D132" s="260"/>
      <c r="E132" s="260"/>
      <c r="F132" s="677"/>
      <c r="G132" s="677"/>
    </row>
    <row r="133" spans="1:7" s="516" customFormat="1">
      <c r="A133" s="532">
        <v>20</v>
      </c>
      <c r="B133" s="531"/>
      <c r="C133" s="531" t="s">
        <v>107</v>
      </c>
      <c r="D133" s="329">
        <f>D134+D140</f>
        <v>3207443.7</v>
      </c>
      <c r="E133" s="530">
        <f>E134+E140</f>
        <v>0</v>
      </c>
      <c r="F133" s="709">
        <f>F134+F140</f>
        <v>4562280.3999999994</v>
      </c>
      <c r="G133" s="708">
        <f>G134+G140</f>
        <v>0</v>
      </c>
    </row>
    <row r="134" spans="1:7" s="516" customFormat="1">
      <c r="A134" s="520" t="s">
        <v>106</v>
      </c>
      <c r="B134" s="519"/>
      <c r="C134" s="519" t="s">
        <v>105</v>
      </c>
      <c r="D134" s="327">
        <f>D135+D136+D138+D139</f>
        <v>1457210.3</v>
      </c>
      <c r="E134" s="326">
        <f>E135+E136+E138+E139</f>
        <v>0</v>
      </c>
      <c r="F134" s="706">
        <f>F135+F136+F138+F139</f>
        <v>2137755.0999999996</v>
      </c>
      <c r="G134" s="705">
        <f>G135+G136+G138+G139</f>
        <v>0</v>
      </c>
    </row>
    <row r="135" spans="1:7" s="525" customFormat="1">
      <c r="A135" s="527">
        <v>200</v>
      </c>
      <c r="B135" s="526"/>
      <c r="C135" s="526" t="s">
        <v>104</v>
      </c>
      <c r="D135" s="317">
        <v>1128422.3999999999</v>
      </c>
      <c r="E135" s="316"/>
      <c r="F135" s="702">
        <v>1129166.8999999999</v>
      </c>
      <c r="G135" s="707"/>
    </row>
    <row r="136" spans="1:7" s="525" customFormat="1">
      <c r="A136" s="527">
        <v>201</v>
      </c>
      <c r="B136" s="526"/>
      <c r="C136" s="526" t="s">
        <v>103</v>
      </c>
      <c r="D136" s="317">
        <v>131155.79999999999</v>
      </c>
      <c r="E136" s="316"/>
      <c r="F136" s="702">
        <v>170872.5</v>
      </c>
      <c r="G136" s="707"/>
    </row>
    <row r="137" spans="1:7" s="525" customFormat="1">
      <c r="A137" s="529" t="s">
        <v>102</v>
      </c>
      <c r="B137" s="528"/>
      <c r="C137" s="528" t="s">
        <v>101</v>
      </c>
      <c r="D137" s="322">
        <v>10816.9</v>
      </c>
      <c r="E137" s="328"/>
      <c r="F137" s="704">
        <v>30754556</v>
      </c>
      <c r="G137" s="703"/>
    </row>
    <row r="138" spans="1:7" s="525" customFormat="1">
      <c r="A138" s="527">
        <v>204</v>
      </c>
      <c r="B138" s="526"/>
      <c r="C138" s="526" t="s">
        <v>100</v>
      </c>
      <c r="D138" s="317">
        <v>197632.1</v>
      </c>
      <c r="E138" s="304"/>
      <c r="F138" s="702">
        <v>186047.7</v>
      </c>
      <c r="G138" s="698"/>
    </row>
    <row r="139" spans="1:7" s="525" customFormat="1">
      <c r="A139" s="527">
        <v>205</v>
      </c>
      <c r="B139" s="526"/>
      <c r="C139" s="526" t="s">
        <v>99</v>
      </c>
      <c r="D139" s="317">
        <v>0</v>
      </c>
      <c r="E139" s="304"/>
      <c r="F139" s="702">
        <v>651668</v>
      </c>
      <c r="G139" s="698"/>
    </row>
    <row r="140" spans="1:7" s="525" customFormat="1">
      <c r="A140" s="520" t="s">
        <v>98</v>
      </c>
      <c r="B140" s="519"/>
      <c r="C140" s="519" t="s">
        <v>97</v>
      </c>
      <c r="D140" s="327">
        <f>D141+D143+D144</f>
        <v>1750233.4</v>
      </c>
      <c r="E140" s="326">
        <f>E141+E143+E144</f>
        <v>0</v>
      </c>
      <c r="F140" s="706">
        <f>F141+F143+F144</f>
        <v>2424525.2999999998</v>
      </c>
      <c r="G140" s="705">
        <f>G141+G143+G144</f>
        <v>0</v>
      </c>
    </row>
    <row r="141" spans="1:7" s="525" customFormat="1">
      <c r="A141" s="527">
        <v>206</v>
      </c>
      <c r="B141" s="526"/>
      <c r="C141" s="526" t="s">
        <v>96</v>
      </c>
      <c r="D141" s="317">
        <v>1202793.5</v>
      </c>
      <c r="E141" s="304"/>
      <c r="F141" s="702">
        <v>2276378.7999999998</v>
      </c>
      <c r="G141" s="698"/>
    </row>
    <row r="142" spans="1:7" s="525" customFormat="1">
      <c r="A142" s="529" t="s">
        <v>95</v>
      </c>
      <c r="B142" s="528"/>
      <c r="C142" s="528" t="s">
        <v>94</v>
      </c>
      <c r="D142" s="322">
        <v>0</v>
      </c>
      <c r="E142" s="328"/>
      <c r="F142" s="704">
        <v>0</v>
      </c>
      <c r="G142" s="703"/>
    </row>
    <row r="143" spans="1:7" s="525" customFormat="1">
      <c r="A143" s="527">
        <v>208</v>
      </c>
      <c r="B143" s="526"/>
      <c r="C143" s="526" t="s">
        <v>93</v>
      </c>
      <c r="D143" s="317">
        <v>547439.9</v>
      </c>
      <c r="E143" s="304"/>
      <c r="F143" s="702">
        <v>148146.5</v>
      </c>
      <c r="G143" s="698"/>
    </row>
    <row r="144" spans="1:7" s="521" customFormat="1" ht="28.9" customHeight="1">
      <c r="A144" s="524">
        <v>209</v>
      </c>
      <c r="B144" s="523"/>
      <c r="C144" s="523" t="s">
        <v>92</v>
      </c>
      <c r="D144" s="311">
        <v>0</v>
      </c>
      <c r="E144" s="339"/>
      <c r="F144" s="701">
        <v>0</v>
      </c>
      <c r="G144" s="700"/>
    </row>
    <row r="145" spans="1:7" s="516" customFormat="1">
      <c r="A145" s="520">
        <v>29</v>
      </c>
      <c r="B145" s="519"/>
      <c r="C145" s="519" t="s">
        <v>61</v>
      </c>
      <c r="D145" s="305">
        <v>552306.4</v>
      </c>
      <c r="E145" s="304"/>
      <c r="F145" s="699">
        <v>-616615</v>
      </c>
      <c r="G145" s="698"/>
    </row>
    <row r="146" spans="1:7" s="516" customFormat="1">
      <c r="A146" s="518" t="s">
        <v>91</v>
      </c>
      <c r="B146" s="517"/>
      <c r="C146" s="517" t="s">
        <v>90</v>
      </c>
      <c r="D146" s="300">
        <v>330640.5</v>
      </c>
      <c r="E146" s="299"/>
      <c r="F146" s="697">
        <v>-839647.3</v>
      </c>
      <c r="G146" s="696"/>
    </row>
    <row r="147" spans="1:7" s="512" customFormat="1">
      <c r="A147" s="515">
        <v>2</v>
      </c>
      <c r="B147" s="514"/>
      <c r="C147" s="515" t="s">
        <v>89</v>
      </c>
      <c r="D147" s="295">
        <f>D133+D145</f>
        <v>3759750.1</v>
      </c>
      <c r="E147" s="295">
        <f>E133+E145</f>
        <v>0</v>
      </c>
      <c r="F147" s="695">
        <f>F133+F145</f>
        <v>3945665.3999999994</v>
      </c>
      <c r="G147" s="695">
        <f>G133+G145</f>
        <v>0</v>
      </c>
    </row>
    <row r="148" spans="1:7" ht="7.5" customHeight="1">
      <c r="D148" s="512"/>
      <c r="F148" s="694"/>
    </row>
    <row r="149" spans="1:7" ht="13.5" customHeight="1">
      <c r="A149" s="511" t="s">
        <v>88</v>
      </c>
      <c r="B149" s="509"/>
      <c r="C149" s="664" t="s">
        <v>87</v>
      </c>
      <c r="D149" s="509"/>
      <c r="E149" s="509"/>
      <c r="F149" s="693"/>
      <c r="G149" s="693"/>
    </row>
    <row r="150" spans="1:7">
      <c r="A150" s="498" t="s">
        <v>86</v>
      </c>
      <c r="B150" s="494"/>
      <c r="C150" s="494" t="s">
        <v>85</v>
      </c>
      <c r="D150" s="268">
        <f>D77+SUM(D8:D12)-D30-D31+D16-D33+D59+D63-D73+D64-D74-D54+D20-D35</f>
        <v>-17331.800000000374</v>
      </c>
      <c r="E150" s="268">
        <f>E77+SUM(E8:E12)-E30-E31+E16-E33+E59+E63-E73+E64-E74-E54+E20-E35</f>
        <v>-849963.20000000007</v>
      </c>
      <c r="F150" s="681">
        <f>F77+SUM(F8:F12)-F30-F31+F16-F33+F59+F63-F73+F64-F74-F54+F20-F35</f>
        <v>-1086003.5999999999</v>
      </c>
      <c r="G150" s="681">
        <f>G77+SUM(G8:G12)-G30-G31+G16-G33+G59+G63-G73+G64-G74-G54+G20-G35</f>
        <v>45125.69999999991</v>
      </c>
    </row>
    <row r="151" spans="1:7">
      <c r="A151" s="489" t="s">
        <v>84</v>
      </c>
      <c r="B151" s="488"/>
      <c r="C151" s="488" t="s">
        <v>83</v>
      </c>
      <c r="D151" s="269">
        <f>IF(D177=0,0,D150/D177)</f>
        <v>-7.2551714518687268E-3</v>
      </c>
      <c r="E151" s="269">
        <f>IF(E177=0,0,E150/E177)</f>
        <v>-0.29783305160026846</v>
      </c>
      <c r="F151" s="682">
        <f>IF(F177=0,0,F150/F177)</f>
        <v>-0.38999430200821611</v>
      </c>
      <c r="G151" s="682">
        <f>IF(G177=0,0,G150/G177)</f>
        <v>1.8130222678670385E-2</v>
      </c>
    </row>
    <row r="152" spans="1:7" s="688" customFormat="1" ht="25.5">
      <c r="A152" s="508" t="s">
        <v>81</v>
      </c>
      <c r="B152" s="661"/>
      <c r="C152" s="661" t="s">
        <v>82</v>
      </c>
      <c r="D152" s="691">
        <f>IF(D107=0,0,D150/D107)</f>
        <v>-7.9736441612120762E-2</v>
      </c>
      <c r="E152" s="691">
        <f>IF(E107=0,0,E150/E107)</f>
        <v>-4.1624054848188052</v>
      </c>
      <c r="F152" s="692">
        <f>IF(F107=0,0,F150/F107)</f>
        <v>-6.0149742453613957</v>
      </c>
      <c r="G152" s="692">
        <f>IF(G107=0,0,G150/G107)</f>
        <v>0.22117080247609389</v>
      </c>
    </row>
    <row r="153" spans="1:7" s="688" customFormat="1" ht="25.5">
      <c r="A153" s="497" t="s">
        <v>81</v>
      </c>
      <c r="B153" s="663"/>
      <c r="C153" s="663" t="s">
        <v>80</v>
      </c>
      <c r="D153" s="689">
        <f>IF(0=D108,0,D150/D108)</f>
        <v>-8.7629629592179625E-2</v>
      </c>
      <c r="E153" s="689">
        <f>IF(0=E108,0,E150/E108)</f>
        <v>-4.4629204515620904</v>
      </c>
      <c r="F153" s="690">
        <f>IF(0=F108,0,F150/F108)</f>
        <v>-6.4432859225348729</v>
      </c>
      <c r="G153" s="690">
        <f>IF(0=G108,0,G150/G108)</f>
        <v>0.24512713820882015</v>
      </c>
    </row>
    <row r="154" spans="1:7" ht="25.5">
      <c r="A154" s="503" t="s">
        <v>79</v>
      </c>
      <c r="B154" s="502"/>
      <c r="C154" s="502" t="s">
        <v>78</v>
      </c>
      <c r="D154" s="279">
        <f>D150-D107</f>
        <v>-234695.4000000004</v>
      </c>
      <c r="E154" s="279">
        <f>E150-E107</f>
        <v>-1054163.2000000002</v>
      </c>
      <c r="F154" s="687">
        <f>F150-F107</f>
        <v>-1266553.5999999999</v>
      </c>
      <c r="G154" s="687">
        <f>G150-G107</f>
        <v>-158905.3000000001</v>
      </c>
    </row>
    <row r="155" spans="1:7" ht="25.5">
      <c r="A155" s="497" t="s">
        <v>77</v>
      </c>
      <c r="B155" s="500"/>
      <c r="C155" s="500" t="s">
        <v>76</v>
      </c>
      <c r="D155" s="282">
        <f>D150-D108</f>
        <v>-215116.50000000041</v>
      </c>
      <c r="E155" s="282">
        <f>E150-E108</f>
        <v>-1040413.2000000001</v>
      </c>
      <c r="F155" s="686">
        <f>F150-F108</f>
        <v>-1254551.6999999997</v>
      </c>
      <c r="G155" s="686">
        <f>G150-G108</f>
        <v>-138965.3000000001</v>
      </c>
    </row>
    <row r="156" spans="1:7">
      <c r="A156" s="658" t="s">
        <v>75</v>
      </c>
      <c r="B156" s="494"/>
      <c r="C156" s="494" t="s">
        <v>74</v>
      </c>
      <c r="D156" s="277">
        <f>D135+D136-D137+D141-D142</f>
        <v>2451554.7999999998</v>
      </c>
      <c r="E156" s="277">
        <f>E135+E136-E137+E141-E142</f>
        <v>0</v>
      </c>
      <c r="F156" s="681">
        <f>F135+F136-F137+F141-F142</f>
        <v>-27178137.800000001</v>
      </c>
      <c r="G156" s="681">
        <f>G135+G136-G137+G141-G142</f>
        <v>0</v>
      </c>
    </row>
    <row r="157" spans="1:7">
      <c r="A157" s="656" t="s">
        <v>73</v>
      </c>
      <c r="B157" s="491"/>
      <c r="C157" s="491" t="s">
        <v>72</v>
      </c>
      <c r="D157" s="273">
        <f>IF(D177=0,0,D156/D177)</f>
        <v>1.026232151170182</v>
      </c>
      <c r="E157" s="273">
        <f>IF(E177=0,0,E156/E177)</f>
        <v>0</v>
      </c>
      <c r="F157" s="683">
        <f>IF(F177=0,0,F156/F177)</f>
        <v>-9.7599297840210806</v>
      </c>
      <c r="G157" s="683">
        <f>IF(G177=0,0,G156/G177)</f>
        <v>0</v>
      </c>
    </row>
    <row r="158" spans="1:7">
      <c r="A158" s="658" t="s">
        <v>71</v>
      </c>
      <c r="B158" s="494"/>
      <c r="C158" s="494" t="s">
        <v>70</v>
      </c>
      <c r="D158" s="277">
        <f>D133-D142-D111</f>
        <v>1458028.7000000004</v>
      </c>
      <c r="E158" s="277">
        <f>E133-E142-E111</f>
        <v>0</v>
      </c>
      <c r="F158" s="681">
        <f>F133-F142-F111</f>
        <v>2730861.6999999993</v>
      </c>
      <c r="G158" s="681">
        <f>G133-G142-G111</f>
        <v>0</v>
      </c>
    </row>
    <row r="159" spans="1:7">
      <c r="A159" s="654" t="s">
        <v>69</v>
      </c>
      <c r="B159" s="488"/>
      <c r="C159" s="488" t="s">
        <v>68</v>
      </c>
      <c r="D159" s="265">
        <f>D121-D123-D124-D142-D145</f>
        <v>897779.2999999997</v>
      </c>
      <c r="E159" s="265">
        <f>E121-E123-E124-E142-E145</f>
        <v>0</v>
      </c>
      <c r="F159" s="680">
        <f>F121-F123-F124-F142-F145</f>
        <v>2158609.7000000002</v>
      </c>
      <c r="G159" s="680">
        <f>G121-G123-G124-G142-G145</f>
        <v>0</v>
      </c>
    </row>
    <row r="160" spans="1:7">
      <c r="A160" s="654" t="s">
        <v>66</v>
      </c>
      <c r="B160" s="488"/>
      <c r="C160" s="488" t="s">
        <v>67</v>
      </c>
      <c r="D160" s="276">
        <f>IF(D175=0,"-",1000*D158/D175)</f>
        <v>5225.1976433317341</v>
      </c>
      <c r="E160" s="276">
        <f>IF(E175=0,"-",1000*E158/E175)</f>
        <v>0</v>
      </c>
      <c r="F160" s="685">
        <f>IF(F175=0,"-",1000*F158/F175)</f>
        <v>9661.6028246848546</v>
      </c>
      <c r="G160" s="685">
        <f>IF(G175=0,"-",1000*G158/G175)</f>
        <v>0</v>
      </c>
    </row>
    <row r="161" spans="1:7">
      <c r="A161" s="654" t="s">
        <v>66</v>
      </c>
      <c r="B161" s="488"/>
      <c r="C161" s="488" t="s">
        <v>65</v>
      </c>
      <c r="D161" s="265">
        <f>IF(D175=0,0,1000*(D159/D175))</f>
        <v>3217.4087400282388</v>
      </c>
      <c r="E161" s="265">
        <f>IF(E175=0,0,1000*(E159/E175))</f>
        <v>0</v>
      </c>
      <c r="F161" s="680">
        <f>IF(F175=0,0,1000*(F159/F175))</f>
        <v>7637.014197720865</v>
      </c>
      <c r="G161" s="680">
        <f>IF(G175=0,0,1000*(G159/G175))</f>
        <v>0</v>
      </c>
    </row>
    <row r="162" spans="1:7">
      <c r="A162" s="656" t="s">
        <v>64</v>
      </c>
      <c r="B162" s="491"/>
      <c r="C162" s="491" t="s">
        <v>63</v>
      </c>
      <c r="D162" s="273">
        <f>IF((D22+D23+D65+D66)=0,0,D158/(D22+D23+D65+D66))</f>
        <v>0.92282814803365876</v>
      </c>
      <c r="E162" s="273">
        <f>IF((E22+E23+E65+E66)=0,0,E158/(E22+E23+E65+E66))</f>
        <v>0</v>
      </c>
      <c r="F162" s="683">
        <f>IF((F22+F23+F65+F66)=0,0,F158/(F22+F23+F65+F66))</f>
        <v>1.6881965593046619</v>
      </c>
      <c r="G162" s="683">
        <f>IF((G22+G23+G65+G66)=0,0,G158/(G22+G23+G65+G66))</f>
        <v>0</v>
      </c>
    </row>
    <row r="163" spans="1:7">
      <c r="A163" s="654" t="s">
        <v>62</v>
      </c>
      <c r="B163" s="488"/>
      <c r="C163" s="488" t="s">
        <v>61</v>
      </c>
      <c r="D163" s="268">
        <f>D145</f>
        <v>552306.4</v>
      </c>
      <c r="E163" s="268">
        <f>E145</f>
        <v>0</v>
      </c>
      <c r="F163" s="681">
        <f>F145</f>
        <v>-616615</v>
      </c>
      <c r="G163" s="681">
        <f>G145</f>
        <v>0</v>
      </c>
    </row>
    <row r="164" spans="1:7" ht="25.5">
      <c r="A164" s="497" t="s">
        <v>60</v>
      </c>
      <c r="B164" s="496"/>
      <c r="C164" s="496" t="s">
        <v>59</v>
      </c>
      <c r="D164" s="274">
        <f>IF(D178=0,0,D146/D178)</f>
        <v>0.13657964505373335</v>
      </c>
      <c r="E164" s="274">
        <f>IF(E178=0,0,E146/E178)</f>
        <v>0</v>
      </c>
      <c r="F164" s="684">
        <f>IF(F178=0,0,F146/F178)</f>
        <v>-0.21158002772862633</v>
      </c>
      <c r="G164" s="684">
        <f>IF(G178=0,0,G146/G178)</f>
        <v>0</v>
      </c>
    </row>
    <row r="165" spans="1:7">
      <c r="A165" s="652" t="s">
        <v>58</v>
      </c>
      <c r="B165" s="485"/>
      <c r="C165" s="485" t="s">
        <v>57</v>
      </c>
      <c r="D165" s="262">
        <f>IF(D177=0,0,D180/D177)</f>
        <v>3.1669364643172437E-2</v>
      </c>
      <c r="E165" s="262">
        <f>IF(E177=0,0,E180/E177)</f>
        <v>2.9681995489350906E-2</v>
      </c>
      <c r="F165" s="679">
        <f>IF(F177=0,0,F180/F177)</f>
        <v>3.0392377855967104E-2</v>
      </c>
      <c r="G165" s="679">
        <f>IF(G177=0,0,G180/G177)</f>
        <v>4.2788469767052043E-2</v>
      </c>
    </row>
    <row r="166" spans="1:7">
      <c r="A166" s="654" t="s">
        <v>56</v>
      </c>
      <c r="B166" s="488"/>
      <c r="C166" s="488" t="s">
        <v>55</v>
      </c>
      <c r="D166" s="268">
        <f>D55</f>
        <v>99382.399999999994</v>
      </c>
      <c r="E166" s="268">
        <f>E55</f>
        <v>68084.400000000023</v>
      </c>
      <c r="F166" s="681">
        <f>F55</f>
        <v>75163.899999999994</v>
      </c>
      <c r="G166" s="681">
        <f>G55</f>
        <v>45053.100000000006</v>
      </c>
    </row>
    <row r="167" spans="1:7">
      <c r="A167" s="656" t="s">
        <v>54</v>
      </c>
      <c r="B167" s="491"/>
      <c r="C167" s="491" t="s">
        <v>53</v>
      </c>
      <c r="D167" s="273">
        <f>IF(0=D111,0,(D44+D45+D46+D47+D48)/D111)</f>
        <v>2.4143442236404741E-2</v>
      </c>
      <c r="E167" s="273">
        <f>IF(0=E111,0,(E44+E45+E46+E47+E48)/E111)</f>
        <v>0</v>
      </c>
      <c r="F167" s="683">
        <f>IF(0=F111,0,(F44+F45+F46+F47+F48)/F111)</f>
        <v>2.0032721081203329E-2</v>
      </c>
      <c r="G167" s="683">
        <f>IF(0=G111,0,(G44+G45+G46+G47+G48)/G111)</f>
        <v>0</v>
      </c>
    </row>
    <row r="168" spans="1:7">
      <c r="A168" s="654" t="s">
        <v>52</v>
      </c>
      <c r="B168" s="494"/>
      <c r="C168" s="494" t="s">
        <v>51</v>
      </c>
      <c r="D168" s="268">
        <f>D38-D44</f>
        <v>6076.5</v>
      </c>
      <c r="E168" s="268">
        <f>E38-E44</f>
        <v>11049.400000000001</v>
      </c>
      <c r="F168" s="681">
        <f>F38-F44</f>
        <v>7996.2000000000007</v>
      </c>
      <c r="G168" s="681">
        <f>G38-G44</f>
        <v>35879.599999999999</v>
      </c>
    </row>
    <row r="169" spans="1:7">
      <c r="A169" s="656" t="s">
        <v>50</v>
      </c>
      <c r="B169" s="491"/>
      <c r="C169" s="491" t="s">
        <v>49</v>
      </c>
      <c r="D169" s="269">
        <f>IF(D177=0,0,D168/D177)</f>
        <v>2.5436509380029407E-3</v>
      </c>
      <c r="E169" s="269">
        <f>IF(E177=0,0,E168/E177)</f>
        <v>3.8717870613127797E-3</v>
      </c>
      <c r="F169" s="682">
        <f>IF(F177=0,0,F168/F177)</f>
        <v>2.8715120628680221E-3</v>
      </c>
      <c r="G169" s="682">
        <f>IF(G177=0,0,G168/G177)</f>
        <v>1.441540270004949E-2</v>
      </c>
    </row>
    <row r="170" spans="1:7">
      <c r="A170" s="654" t="s">
        <v>48</v>
      </c>
      <c r="B170" s="488"/>
      <c r="C170" s="488" t="s">
        <v>47</v>
      </c>
      <c r="D170" s="268">
        <f>SUM(D82:D87)+SUM(D89:D94)</f>
        <v>299998.90000000002</v>
      </c>
      <c r="E170" s="268">
        <f>SUM(E82:E87)+SUM(E89:E94)</f>
        <v>246890</v>
      </c>
      <c r="F170" s="681">
        <f>SUM(F82:F87)+SUM(F89:F94)</f>
        <v>217219.59999999998</v>
      </c>
      <c r="G170" s="681">
        <f>SUM(G82:G87)+SUM(G89:G94)</f>
        <v>245066</v>
      </c>
    </row>
    <row r="171" spans="1:7">
      <c r="A171" s="654" t="s">
        <v>46</v>
      </c>
      <c r="B171" s="488"/>
      <c r="C171" s="488" t="s">
        <v>45</v>
      </c>
      <c r="D171" s="265">
        <f>SUM(D96:D102)+SUM(D104:D105)</f>
        <v>82635.3</v>
      </c>
      <c r="E171" s="265">
        <f>SUM(E96:E102)+SUM(E104:E105)</f>
        <v>42690</v>
      </c>
      <c r="F171" s="680">
        <f>SUM(F96:F102)+SUM(F104:F105)</f>
        <v>36669.599999999999</v>
      </c>
      <c r="G171" s="680">
        <f>SUM(G96:G102)+SUM(G104:G105)</f>
        <v>41035</v>
      </c>
    </row>
    <row r="172" spans="1:7">
      <c r="A172" s="652" t="s">
        <v>44</v>
      </c>
      <c r="B172" s="485"/>
      <c r="C172" s="485" t="s">
        <v>43</v>
      </c>
      <c r="D172" s="262">
        <f>IF(D184=0,0,D170/D184)</f>
        <v>0.11535744269146203</v>
      </c>
      <c r="E172" s="262">
        <f>IF(E184=0,0,E170/E184)</f>
        <v>6.2933760922980225E-2</v>
      </c>
      <c r="F172" s="679">
        <f>IF(F184=0,0,F170/F184)</f>
        <v>5.3438163711542891E-2</v>
      </c>
      <c r="G172" s="679">
        <f>IF(G184=0,0,G170/G184)</f>
        <v>9.2059338315194597E-2</v>
      </c>
    </row>
    <row r="173" spans="1:7">
      <c r="A173" s="678"/>
    </row>
    <row r="174" spans="1:7">
      <c r="A174" s="479" t="s">
        <v>42</v>
      </c>
      <c r="B174" s="477"/>
      <c r="C174" s="649"/>
      <c r="D174" s="260"/>
      <c r="E174" s="260"/>
      <c r="F174" s="677"/>
      <c r="G174" s="677"/>
    </row>
    <row r="175" spans="1:7" s="480" customFormat="1">
      <c r="A175" s="478" t="s">
        <v>41</v>
      </c>
      <c r="B175" s="477"/>
      <c r="C175" s="477" t="s">
        <v>259</v>
      </c>
      <c r="D175" s="675">
        <v>279038</v>
      </c>
      <c r="E175" s="675">
        <v>279038</v>
      </c>
      <c r="F175" s="676">
        <v>282651</v>
      </c>
      <c r="G175" s="676">
        <v>282651</v>
      </c>
    </row>
    <row r="176" spans="1:7">
      <c r="A176" s="479" t="s">
        <v>39</v>
      </c>
      <c r="B176" s="477"/>
      <c r="C176" s="477"/>
      <c r="D176" s="477"/>
      <c r="E176" s="477"/>
      <c r="F176" s="674"/>
      <c r="G176" s="674"/>
    </row>
    <row r="177" spans="1:7">
      <c r="A177" s="478" t="s">
        <v>38</v>
      </c>
      <c r="B177" s="477"/>
      <c r="C177" s="477" t="s">
        <v>37</v>
      </c>
      <c r="D177" s="475">
        <f>SUM(D22:D32)+SUM(D44:D53)+SUM(D65:D72)+D75</f>
        <v>2388889.0999999996</v>
      </c>
      <c r="E177" s="475">
        <f>SUM(E22:E32)+SUM(E44:E53)+SUM(E65:E72)+E75</f>
        <v>2853824.3000000003</v>
      </c>
      <c r="F177" s="674">
        <f>SUM(F22:F32)+SUM(F44:F53)+SUM(F65:F72)+F75</f>
        <v>2784665.3000000003</v>
      </c>
      <c r="G177" s="674">
        <f>SUM(G22:G32)+SUM(G44:G53)+SUM(G65:G72)+G75</f>
        <v>2488976.6</v>
      </c>
    </row>
    <row r="178" spans="1:7">
      <c r="A178" s="478" t="s">
        <v>36</v>
      </c>
      <c r="B178" s="477"/>
      <c r="C178" s="477" t="s">
        <v>35</v>
      </c>
      <c r="D178" s="475">
        <f>D78-D17-D20-D59-D63-D64</f>
        <v>2420862.1999999997</v>
      </c>
      <c r="E178" s="475">
        <f>E78-E17-E20-E59-E63-E64</f>
        <v>3797842.5</v>
      </c>
      <c r="F178" s="674">
        <f>F78-F17-F20-F59-F63-F64</f>
        <v>3968462.0000000005</v>
      </c>
      <c r="G178" s="674">
        <f>G78-G17-G20-G59-G63-G64</f>
        <v>2534139.6</v>
      </c>
    </row>
    <row r="179" spans="1:7">
      <c r="A179" s="478"/>
      <c r="B179" s="477"/>
      <c r="C179" s="477" t="s">
        <v>34</v>
      </c>
      <c r="D179" s="475">
        <f>D178+D170</f>
        <v>2720861.0999999996</v>
      </c>
      <c r="E179" s="475">
        <f>E178+E170</f>
        <v>4044732.5</v>
      </c>
      <c r="F179" s="674">
        <f>F178+F170</f>
        <v>4185681.6000000006</v>
      </c>
      <c r="G179" s="674">
        <f>G178+G170</f>
        <v>2779205.6</v>
      </c>
    </row>
    <row r="180" spans="1:7">
      <c r="A180" s="478" t="s">
        <v>33</v>
      </c>
      <c r="B180" s="477"/>
      <c r="C180" s="477" t="s">
        <v>32</v>
      </c>
      <c r="D180" s="475">
        <f>D38-D44+D8+D9+D10+D16-D33</f>
        <v>75654.600000000006</v>
      </c>
      <c r="E180" s="475">
        <f>E38-E44+E8+E9+E10+E16-E33</f>
        <v>84707.200000000012</v>
      </c>
      <c r="F180" s="674">
        <f>F38-F44+F8+F9+F10+F16-F33</f>
        <v>84632.6</v>
      </c>
      <c r="G180" s="674">
        <f>G38-G44+G8+G9+G10+G16-G33</f>
        <v>106499.49999999999</v>
      </c>
    </row>
    <row r="181" spans="1:7" ht="27.6" customHeight="1">
      <c r="A181" s="474" t="s">
        <v>31</v>
      </c>
      <c r="B181" s="472"/>
      <c r="C181" s="472" t="s">
        <v>30</v>
      </c>
      <c r="D181" s="249">
        <f>D22+D23+D24+D25+D26+D29+SUM(D44:D47)+SUM(D49:D53)-D54+D32-D33+SUM(D65:D70)+D72</f>
        <v>2310704.6999999997</v>
      </c>
      <c r="E181" s="249">
        <f>E22+E23+E24+E25+E26+E29+SUM(E44:E47)+SUM(E49:E53)-E54+E32-E33+SUM(E65:E70)+E72</f>
        <v>2851500.5</v>
      </c>
      <c r="F181" s="673">
        <f>F22+F23+F24+F25+F26+F29+SUM(F44:F47)+SUM(F49:F53)-F54+F32-F33+SUM(F65:F70)+F72</f>
        <v>2782367.4000000004</v>
      </c>
      <c r="G181" s="673">
        <f>G22+G23+G24+G25+G26+G29+SUM(G44:G47)+SUM(G49:G53)-G54+G32-G33+SUM(G65:G70)+G72</f>
        <v>2486945.4</v>
      </c>
    </row>
    <row r="182" spans="1:7">
      <c r="A182" s="473" t="s">
        <v>29</v>
      </c>
      <c r="B182" s="472"/>
      <c r="C182" s="472" t="s">
        <v>28</v>
      </c>
      <c r="D182" s="249">
        <f>D181+D171</f>
        <v>2393339.9999999995</v>
      </c>
      <c r="E182" s="249">
        <f>E181+E171</f>
        <v>2894190.5</v>
      </c>
      <c r="F182" s="673">
        <f>F181+F171</f>
        <v>2819037.0000000005</v>
      </c>
      <c r="G182" s="673">
        <f>G181+G171</f>
        <v>2527980.4</v>
      </c>
    </row>
    <row r="183" spans="1:7">
      <c r="A183" s="473" t="s">
        <v>27</v>
      </c>
      <c r="B183" s="472"/>
      <c r="C183" s="472" t="s">
        <v>26</v>
      </c>
      <c r="D183" s="249">
        <f>D4+D5-D7+D38+D39+D40+D41+D43+D13-D16+D57+D58+D60+D62</f>
        <v>2300604.0000000005</v>
      </c>
      <c r="E183" s="249">
        <f>E4+E5-E7+E38+E39+E40+E41+E43+E13-E16+E57+E58+E60+E62</f>
        <v>3676123.6</v>
      </c>
      <c r="F183" s="673">
        <f>F4+F5-F7+F38+F39+F40+F41+F43+F13-F16+F57+F58+F60+F62</f>
        <v>3847658.1000000006</v>
      </c>
      <c r="G183" s="673">
        <f>G4+G5-G7+G38+G39+G40+G41+G43+G13-G16+G57+G58+G60+G62</f>
        <v>2416977.8999999994</v>
      </c>
    </row>
    <row r="184" spans="1:7">
      <c r="A184" s="473" t="s">
        <v>25</v>
      </c>
      <c r="B184" s="472"/>
      <c r="C184" s="472" t="s">
        <v>24</v>
      </c>
      <c r="D184" s="249">
        <f>D183+D170</f>
        <v>2600602.9000000004</v>
      </c>
      <c r="E184" s="249">
        <f>E183+E170</f>
        <v>3923013.6</v>
      </c>
      <c r="F184" s="673">
        <f>F183+F170</f>
        <v>4064877.7000000007</v>
      </c>
      <c r="G184" s="673">
        <f>G183+G170</f>
        <v>2662043.8999999994</v>
      </c>
    </row>
    <row r="185" spans="1:7">
      <c r="A185" s="473"/>
      <c r="B185" s="472"/>
      <c r="C185" s="472" t="s">
        <v>23</v>
      </c>
      <c r="D185" s="249">
        <f t="shared" ref="D185:G186" si="0">D181-D183</f>
        <v>10100.699999999255</v>
      </c>
      <c r="E185" s="249">
        <f t="shared" si="0"/>
        <v>-824623.10000000009</v>
      </c>
      <c r="F185" s="673">
        <f t="shared" si="0"/>
        <v>-1065290.7000000002</v>
      </c>
      <c r="G185" s="673">
        <f t="shared" si="0"/>
        <v>69967.500000000466</v>
      </c>
    </row>
    <row r="186" spans="1:7">
      <c r="A186" s="473"/>
      <c r="B186" s="472"/>
      <c r="C186" s="472" t="s">
        <v>22</v>
      </c>
      <c r="D186" s="249">
        <f t="shared" si="0"/>
        <v>-207262.90000000084</v>
      </c>
      <c r="E186" s="249">
        <f t="shared" si="0"/>
        <v>-1028823.1000000001</v>
      </c>
      <c r="F186" s="673">
        <f t="shared" si="0"/>
        <v>-1245840.7000000002</v>
      </c>
      <c r="G186" s="673">
        <f t="shared" si="0"/>
        <v>-134063.49999999953</v>
      </c>
    </row>
  </sheetData>
  <sheetProtection selectLockedCells="1" sort="0" autoFilter="0" pivotTables="0"/>
  <mergeCells count="2">
    <mergeCell ref="A3:C3"/>
    <mergeCell ref="A81:C81"/>
  </mergeCells>
  <pageMargins left="0.23622047244094491" right="0.23622047244094491" top="0.74803149606299213" bottom="0.74803149606299213" header="0.31496062992125984" footer="0.31496062992125984"/>
  <pageSetup paperSize="9" fitToHeight="4" orientation="landscape" r:id="rId1"/>
  <headerFooter alignWithMargins="0">
    <oddHeader>&amp;LFachgruppe für kantonale Finanzfragen (FkF)
Groupe d'études pour les finances cantonales
&amp;CKanton VD&amp;RZürich, 11.05.2015</oddHeader>
    <oddFooter>&amp;L&amp;F / &amp;A</oddFooter>
  </headerFooter>
  <rowBreaks count="2" manualBreakCount="2">
    <brk id="79" max="16383" man="1"/>
    <brk id="147" max="16383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7"/>
  <dimension ref="A1:I43"/>
  <sheetViews>
    <sheetView zoomScaleNormal="100" workbookViewId="0">
      <selection activeCell="J51" sqref="J51"/>
    </sheetView>
  </sheetViews>
  <sheetFormatPr baseColWidth="10" defaultRowHeight="12.75"/>
  <cols>
    <col min="2" max="2" width="52.42578125" bestFit="1" customWidth="1"/>
    <col min="8" max="8" width="11.42578125" style="65"/>
  </cols>
  <sheetData>
    <row r="1" spans="1:9">
      <c r="A1" s="5" t="s">
        <v>528</v>
      </c>
      <c r="B1" s="6" t="s">
        <v>602</v>
      </c>
      <c r="C1" s="54" t="s">
        <v>255</v>
      </c>
      <c r="D1" s="7" t="s">
        <v>530</v>
      </c>
      <c r="E1" s="54" t="s">
        <v>254</v>
      </c>
      <c r="F1" s="7" t="s">
        <v>530</v>
      </c>
      <c r="G1" s="54" t="s">
        <v>255</v>
      </c>
      <c r="H1" s="7" t="s">
        <v>530</v>
      </c>
      <c r="I1" s="55" t="s">
        <v>254</v>
      </c>
    </row>
    <row r="2" spans="1:9">
      <c r="A2" s="112">
        <v>0</v>
      </c>
      <c r="B2" s="115">
        <v>0</v>
      </c>
      <c r="C2" s="62">
        <v>2013</v>
      </c>
      <c r="D2" s="3" t="s">
        <v>531</v>
      </c>
      <c r="E2" s="62">
        <v>2014</v>
      </c>
      <c r="F2" s="3" t="s">
        <v>531</v>
      </c>
      <c r="G2" s="63">
        <v>2014</v>
      </c>
      <c r="H2" s="3" t="s">
        <v>531</v>
      </c>
      <c r="I2" s="64">
        <v>2015</v>
      </c>
    </row>
    <row r="3" spans="1:9">
      <c r="A3" s="112">
        <v>0</v>
      </c>
      <c r="B3" s="2" t="s">
        <v>532</v>
      </c>
      <c r="C3" s="114">
        <v>0</v>
      </c>
      <c r="D3" s="113">
        <v>0</v>
      </c>
      <c r="E3" s="114">
        <v>0</v>
      </c>
      <c r="F3" s="115">
        <v>0</v>
      </c>
      <c r="G3" s="116">
        <v>0</v>
      </c>
      <c r="H3" s="113">
        <v>0</v>
      </c>
      <c r="I3" s="105">
        <v>0</v>
      </c>
    </row>
    <row r="4" spans="1:9">
      <c r="A4" s="5" t="s">
        <v>533</v>
      </c>
      <c r="B4" s="9" t="s">
        <v>250</v>
      </c>
      <c r="C4" s="10">
        <v>172680.2</v>
      </c>
      <c r="D4" s="11">
        <v>2.4878358954875932E-3</v>
      </c>
      <c r="E4" s="10">
        <v>173109.8</v>
      </c>
      <c r="F4" s="11">
        <v>6.0903591246711606E-3</v>
      </c>
      <c r="G4" s="10">
        <v>174164.10084999999</v>
      </c>
      <c r="H4" s="241">
        <v>-4.4257160128760237E-3</v>
      </c>
      <c r="I4" s="12">
        <v>173393.3</v>
      </c>
    </row>
    <row r="5" spans="1:9">
      <c r="A5" s="13" t="s">
        <v>534</v>
      </c>
      <c r="B5" s="14" t="s">
        <v>535</v>
      </c>
      <c r="C5" s="15">
        <v>66324.600000000006</v>
      </c>
      <c r="D5" s="16">
        <v>-8.5847483437517941E-2</v>
      </c>
      <c r="E5" s="15">
        <v>60630.8</v>
      </c>
      <c r="F5" s="16">
        <v>-2.886768935920402E-3</v>
      </c>
      <c r="G5" s="15">
        <v>60455.77289</v>
      </c>
      <c r="H5" s="41">
        <v>1.578884967258257E-2</v>
      </c>
      <c r="I5" s="17">
        <v>61410.3</v>
      </c>
    </row>
    <row r="6" spans="1:9">
      <c r="A6" s="13" t="s">
        <v>248</v>
      </c>
      <c r="B6" s="14" t="s">
        <v>536</v>
      </c>
      <c r="C6" s="15">
        <v>10038.6</v>
      </c>
      <c r="D6" s="16">
        <v>-0.16036100651485277</v>
      </c>
      <c r="E6" s="15">
        <v>8428.7999999999993</v>
      </c>
      <c r="F6" s="16">
        <v>-9.4733939588078922E-2</v>
      </c>
      <c r="G6" s="15">
        <v>7630.3065699999997</v>
      </c>
      <c r="H6" s="41">
        <v>1.8989201635708337E-2</v>
      </c>
      <c r="I6" s="17">
        <v>7775.2</v>
      </c>
    </row>
    <row r="7" spans="1:9">
      <c r="A7" s="13" t="s">
        <v>537</v>
      </c>
      <c r="B7" s="14" t="s">
        <v>538</v>
      </c>
      <c r="C7" s="15">
        <v>1827</v>
      </c>
      <c r="D7" s="16">
        <v>0.29660645867542423</v>
      </c>
      <c r="E7" s="15">
        <v>2368.9</v>
      </c>
      <c r="F7" s="16">
        <v>-0.27107712440373172</v>
      </c>
      <c r="G7" s="15">
        <v>1726.7454</v>
      </c>
      <c r="H7" s="41">
        <v>0.95118516024423738</v>
      </c>
      <c r="I7" s="17">
        <v>3369.2</v>
      </c>
    </row>
    <row r="8" spans="1:9">
      <c r="A8" s="13" t="s">
        <v>539</v>
      </c>
      <c r="B8" s="14" t="s">
        <v>540</v>
      </c>
      <c r="C8" s="15">
        <v>3397.3</v>
      </c>
      <c r="D8" s="16">
        <v>-9.5075501133253405E-3</v>
      </c>
      <c r="E8" s="15">
        <v>3365</v>
      </c>
      <c r="F8" s="16">
        <v>0.10656276374442797</v>
      </c>
      <c r="G8" s="15">
        <v>3723.5837000000001</v>
      </c>
      <c r="H8" s="41">
        <v>-0.10167186519803492</v>
      </c>
      <c r="I8" s="17">
        <v>3345</v>
      </c>
    </row>
    <row r="9" spans="1:9">
      <c r="A9" s="13" t="s">
        <v>541</v>
      </c>
      <c r="B9" s="14" t="s">
        <v>542</v>
      </c>
      <c r="C9" s="15">
        <v>17363.900000000001</v>
      </c>
      <c r="D9" s="16">
        <v>5.8253042231295959E-2</v>
      </c>
      <c r="E9" s="15">
        <v>18375.400000000001</v>
      </c>
      <c r="F9" s="16">
        <v>-6.1671794355497106E-2</v>
      </c>
      <c r="G9" s="15">
        <v>17242.15611</v>
      </c>
      <c r="H9" s="41">
        <v>0.1113865271690781</v>
      </c>
      <c r="I9" s="17">
        <v>19162.7</v>
      </c>
    </row>
    <row r="10" spans="1:9">
      <c r="A10" s="13" t="s">
        <v>543</v>
      </c>
      <c r="B10" s="14" t="s">
        <v>544</v>
      </c>
      <c r="C10" s="15">
        <v>377704.9</v>
      </c>
      <c r="D10" s="16">
        <v>2.6354701779087136E-2</v>
      </c>
      <c r="E10" s="15">
        <v>387659.19999999995</v>
      </c>
      <c r="F10" s="16">
        <v>-1.4939172680539873E-2</v>
      </c>
      <c r="G10" s="15">
        <v>381867.89227000001</v>
      </c>
      <c r="H10" s="41">
        <v>1.9406640751977878E-4</v>
      </c>
      <c r="I10" s="17">
        <v>381942</v>
      </c>
    </row>
    <row r="11" spans="1:9">
      <c r="A11" s="13" t="s">
        <v>545</v>
      </c>
      <c r="B11" s="14" t="s">
        <v>546</v>
      </c>
      <c r="C11" s="15">
        <v>69771.100000000006</v>
      </c>
      <c r="D11" s="41">
        <v>-2.0231872508818204E-2</v>
      </c>
      <c r="E11" s="15">
        <v>68359.5</v>
      </c>
      <c r="F11" s="16">
        <v>6.7395049700479685E-3</v>
      </c>
      <c r="G11" s="15">
        <v>68820.209189999994</v>
      </c>
      <c r="H11" s="41">
        <v>-3.7274068477733353E-2</v>
      </c>
      <c r="I11" s="17">
        <v>66255</v>
      </c>
    </row>
    <row r="12" spans="1:9">
      <c r="A12" s="13" t="s">
        <v>547</v>
      </c>
      <c r="B12" s="14" t="s">
        <v>548</v>
      </c>
      <c r="C12" s="15">
        <v>4165.2</v>
      </c>
      <c r="D12" s="41">
        <v>-0.21492365312590028</v>
      </c>
      <c r="E12" s="15">
        <v>3270</v>
      </c>
      <c r="F12" s="16">
        <v>1.7429877675840959E-2</v>
      </c>
      <c r="G12" s="15">
        <v>3326.9956999999999</v>
      </c>
      <c r="H12" s="41">
        <v>-1.7131281534268274E-2</v>
      </c>
      <c r="I12" s="17">
        <v>3270</v>
      </c>
    </row>
    <row r="13" spans="1:9">
      <c r="A13" s="13" t="s">
        <v>549</v>
      </c>
      <c r="B13" s="14" t="s">
        <v>550</v>
      </c>
      <c r="C13" s="15">
        <v>113594.5</v>
      </c>
      <c r="D13" s="41">
        <v>2.2214103675794111E-2</v>
      </c>
      <c r="E13" s="15">
        <v>116117.9</v>
      </c>
      <c r="F13" s="41">
        <v>5.3324912265895266E-2</v>
      </c>
      <c r="G13" s="15">
        <v>122309.87682999999</v>
      </c>
      <c r="H13" s="41">
        <v>-3.2006967887320994E-3</v>
      </c>
      <c r="I13" s="17">
        <v>121918.39999999999</v>
      </c>
    </row>
    <row r="14" spans="1:9">
      <c r="A14" s="13" t="s">
        <v>551</v>
      </c>
      <c r="B14" s="14" t="s">
        <v>552</v>
      </c>
      <c r="C14" s="15">
        <v>0</v>
      </c>
      <c r="D14" s="41" t="s">
        <v>555</v>
      </c>
      <c r="E14" s="15">
        <v>0</v>
      </c>
      <c r="F14" s="16" t="s">
        <v>555</v>
      </c>
      <c r="G14" s="15">
        <v>0</v>
      </c>
      <c r="H14" s="41" t="s">
        <v>555</v>
      </c>
      <c r="I14" s="17">
        <v>0</v>
      </c>
    </row>
    <row r="15" spans="1:9">
      <c r="A15" s="13" t="s">
        <v>553</v>
      </c>
      <c r="B15" s="14" t="s">
        <v>554</v>
      </c>
      <c r="C15" s="15">
        <v>0</v>
      </c>
      <c r="D15" s="41" t="s">
        <v>555</v>
      </c>
      <c r="E15" s="15">
        <v>0</v>
      </c>
      <c r="F15" s="16" t="s">
        <v>555</v>
      </c>
      <c r="G15" s="15">
        <v>0</v>
      </c>
      <c r="H15" s="41" t="s">
        <v>555</v>
      </c>
      <c r="I15" s="17">
        <v>0</v>
      </c>
    </row>
    <row r="16" spans="1:9">
      <c r="A16" s="13" t="s">
        <v>556</v>
      </c>
      <c r="B16" s="14" t="s">
        <v>557</v>
      </c>
      <c r="C16" s="15">
        <v>540.6</v>
      </c>
      <c r="D16" s="41">
        <v>0.33647798742138357</v>
      </c>
      <c r="E16" s="15">
        <v>722.5</v>
      </c>
      <c r="F16" s="41">
        <v>-0.26748927335640132</v>
      </c>
      <c r="G16" s="15">
        <v>529.23900000000003</v>
      </c>
      <c r="H16" s="41">
        <v>0.25557640309954471</v>
      </c>
      <c r="I16" s="17">
        <v>664.5</v>
      </c>
    </row>
    <row r="17" spans="1:9">
      <c r="A17" s="13" t="s">
        <v>558</v>
      </c>
      <c r="B17" s="14" t="s">
        <v>559</v>
      </c>
      <c r="C17" s="15">
        <v>6590.2</v>
      </c>
      <c r="D17" s="16">
        <v>1.6205881460350246E-2</v>
      </c>
      <c r="E17" s="15">
        <v>6697</v>
      </c>
      <c r="F17" s="16">
        <v>1.2672533970434523</v>
      </c>
      <c r="G17" s="15">
        <v>15183.796</v>
      </c>
      <c r="H17" s="41">
        <v>-0.15969629728955792</v>
      </c>
      <c r="I17" s="17">
        <v>12759</v>
      </c>
    </row>
    <row r="18" spans="1:9">
      <c r="A18" s="13">
        <v>389</v>
      </c>
      <c r="B18" s="14" t="s">
        <v>182</v>
      </c>
      <c r="C18" s="15">
        <v>0</v>
      </c>
      <c r="D18" s="41" t="s">
        <v>555</v>
      </c>
      <c r="E18" s="15">
        <v>0</v>
      </c>
      <c r="F18" s="41" t="s">
        <v>555</v>
      </c>
      <c r="G18" s="15">
        <v>0</v>
      </c>
      <c r="H18" s="41" t="s">
        <v>555</v>
      </c>
      <c r="I18" s="17">
        <v>0</v>
      </c>
    </row>
    <row r="19" spans="1:9">
      <c r="A19" s="18" t="s">
        <v>560</v>
      </c>
      <c r="B19" s="19" t="s">
        <v>561</v>
      </c>
      <c r="C19" s="20">
        <v>20794.2</v>
      </c>
      <c r="D19" s="41">
        <v>2.4290427138336582E-2</v>
      </c>
      <c r="E19" s="20">
        <v>21299.3</v>
      </c>
      <c r="F19" s="41">
        <v>3.1496133675754288E-3</v>
      </c>
      <c r="G19" s="20">
        <v>21366.384559999999</v>
      </c>
      <c r="H19" s="41">
        <v>9.8339257823412216E-3</v>
      </c>
      <c r="I19" s="21">
        <v>21576.5</v>
      </c>
    </row>
    <row r="20" spans="1:9">
      <c r="A20" s="22" t="s">
        <v>562</v>
      </c>
      <c r="B20" s="23" t="s">
        <v>563</v>
      </c>
      <c r="C20" s="24">
        <v>666682.30000000005</v>
      </c>
      <c r="D20" s="25">
        <v>1.0234410003085217E-2</v>
      </c>
      <c r="E20" s="24">
        <v>673505.39999999991</v>
      </c>
      <c r="F20" s="25">
        <v>3.3036584116475946E-3</v>
      </c>
      <c r="G20" s="24">
        <v>675730.43177999998</v>
      </c>
      <c r="H20" s="242">
        <v>1.8166537457346295E-3</v>
      </c>
      <c r="I20" s="26">
        <v>676958</v>
      </c>
    </row>
    <row r="21" spans="1:9">
      <c r="A21" s="27" t="s">
        <v>564</v>
      </c>
      <c r="B21" s="28" t="s">
        <v>565</v>
      </c>
      <c r="C21" s="10">
        <v>277602.7</v>
      </c>
      <c r="D21" s="16">
        <v>-2.378471102766656E-2</v>
      </c>
      <c r="E21" s="10">
        <v>271000</v>
      </c>
      <c r="F21" s="16">
        <v>5.5360988487084858E-2</v>
      </c>
      <c r="G21" s="10">
        <v>286002.82788</v>
      </c>
      <c r="H21" s="41">
        <v>-6.51331979410216E-3</v>
      </c>
      <c r="I21" s="12">
        <v>284140</v>
      </c>
    </row>
    <row r="22" spans="1:9">
      <c r="A22" s="8" t="s">
        <v>566</v>
      </c>
      <c r="B22" s="29" t="s">
        <v>567</v>
      </c>
      <c r="C22" s="15">
        <v>18824.900000000001</v>
      </c>
      <c r="D22" s="16">
        <v>-2.756455545580595E-2</v>
      </c>
      <c r="E22" s="15">
        <v>18306</v>
      </c>
      <c r="F22" s="16">
        <v>0.25490849448268321</v>
      </c>
      <c r="G22" s="15">
        <v>22972.354899999998</v>
      </c>
      <c r="H22" s="41">
        <v>-0.19229003379187734</v>
      </c>
      <c r="I22" s="17">
        <v>18555</v>
      </c>
    </row>
    <row r="23" spans="1:9">
      <c r="A23" s="8" t="s">
        <v>568</v>
      </c>
      <c r="B23" s="29" t="s">
        <v>569</v>
      </c>
      <c r="C23" s="15">
        <v>56320.5</v>
      </c>
      <c r="D23" s="16">
        <v>4.9600056817677401E-2</v>
      </c>
      <c r="E23" s="15">
        <v>59114</v>
      </c>
      <c r="F23" s="16">
        <v>-0.19092871671685219</v>
      </c>
      <c r="G23" s="15">
        <v>47827.439839999999</v>
      </c>
      <c r="H23" s="41">
        <v>9.8198892010774932E-3</v>
      </c>
      <c r="I23" s="17">
        <v>48297.1</v>
      </c>
    </row>
    <row r="24" spans="1:9">
      <c r="A24" s="8" t="s">
        <v>570</v>
      </c>
      <c r="B24" s="29" t="s">
        <v>571</v>
      </c>
      <c r="C24" s="15">
        <v>73282.3</v>
      </c>
      <c r="D24" s="16">
        <v>-2.4059015614957577E-2</v>
      </c>
      <c r="E24" s="15">
        <v>71519.199999999997</v>
      </c>
      <c r="F24" s="16">
        <v>-2.1497052120269727E-2</v>
      </c>
      <c r="G24" s="15">
        <v>69981.748030000002</v>
      </c>
      <c r="H24" s="41">
        <v>1.2771215283403053E-2</v>
      </c>
      <c r="I24" s="17">
        <v>70875.5</v>
      </c>
    </row>
    <row r="25" spans="1:9">
      <c r="A25" s="8" t="s">
        <v>572</v>
      </c>
      <c r="B25" s="29" t="s">
        <v>573</v>
      </c>
      <c r="C25" s="15">
        <v>193255.6</v>
      </c>
      <c r="D25" s="16">
        <v>-3.6450690174049227E-2</v>
      </c>
      <c r="E25" s="15">
        <v>186211.30000000002</v>
      </c>
      <c r="F25" s="16">
        <v>5.1535974562231197E-2</v>
      </c>
      <c r="G25" s="15">
        <v>195807.88082000002</v>
      </c>
      <c r="H25" s="41">
        <v>1.5102516750681841E-3</v>
      </c>
      <c r="I25" s="17">
        <v>196103.59999999998</v>
      </c>
    </row>
    <row r="26" spans="1:9">
      <c r="A26" s="56" t="s">
        <v>574</v>
      </c>
      <c r="B26" s="29" t="s">
        <v>575</v>
      </c>
      <c r="C26" s="15">
        <v>9157.7999999999993</v>
      </c>
      <c r="D26" s="16">
        <v>-0.10220795387538492</v>
      </c>
      <c r="E26" s="15">
        <v>8221.7999999999993</v>
      </c>
      <c r="F26" s="16">
        <v>0.10651019849667964</v>
      </c>
      <c r="G26" s="15">
        <v>9097.5055499999999</v>
      </c>
      <c r="H26" s="41">
        <v>-8.461721136295422E-2</v>
      </c>
      <c r="I26" s="17">
        <v>8327.7000000000007</v>
      </c>
    </row>
    <row r="27" spans="1:9">
      <c r="A27" s="150">
        <v>489</v>
      </c>
      <c r="B27" s="29" t="s">
        <v>170</v>
      </c>
      <c r="C27" s="15">
        <v>0</v>
      </c>
      <c r="D27" s="16" t="s">
        <v>555</v>
      </c>
      <c r="E27" s="15">
        <v>0</v>
      </c>
      <c r="F27" s="16" t="s">
        <v>555</v>
      </c>
      <c r="G27" s="15">
        <v>0</v>
      </c>
      <c r="H27" s="41" t="s">
        <v>555</v>
      </c>
      <c r="I27" s="17">
        <v>0</v>
      </c>
    </row>
    <row r="28" spans="1:9">
      <c r="A28" s="30" t="s">
        <v>576</v>
      </c>
      <c r="B28" s="31" t="s">
        <v>577</v>
      </c>
      <c r="C28" s="20">
        <v>20794.2</v>
      </c>
      <c r="D28" s="16">
        <v>2.4290427138336582E-2</v>
      </c>
      <c r="E28" s="20">
        <v>21299.3</v>
      </c>
      <c r="F28" s="16">
        <v>3.1496133675754288E-3</v>
      </c>
      <c r="G28" s="20">
        <v>21366.384559999999</v>
      </c>
      <c r="H28" s="41">
        <v>9.8339257823412216E-3</v>
      </c>
      <c r="I28" s="21">
        <v>21576.5</v>
      </c>
    </row>
    <row r="29" spans="1:9">
      <c r="A29" s="48" t="s">
        <v>578</v>
      </c>
      <c r="B29" s="49" t="s">
        <v>579</v>
      </c>
      <c r="C29" s="24">
        <v>649238</v>
      </c>
      <c r="D29" s="50">
        <v>-2.089588101743876E-2</v>
      </c>
      <c r="E29" s="24">
        <v>635671.60000000009</v>
      </c>
      <c r="F29" s="50">
        <v>2.7348306232337513E-2</v>
      </c>
      <c r="G29" s="24">
        <v>653056.14158000005</v>
      </c>
      <c r="H29" s="243">
        <v>-7.9330722891080892E-3</v>
      </c>
      <c r="I29" s="26">
        <v>647875.39999999991</v>
      </c>
    </row>
    <row r="30" spans="1:9">
      <c r="A30" s="47" t="s">
        <v>580</v>
      </c>
      <c r="B30" s="32" t="s">
        <v>581</v>
      </c>
      <c r="C30" s="33">
        <v>-17444.300000000047</v>
      </c>
      <c r="D30" s="117">
        <v>0</v>
      </c>
      <c r="E30" s="33">
        <v>-37833.799999999814</v>
      </c>
      <c r="F30" s="117">
        <v>0</v>
      </c>
      <c r="G30" s="34">
        <v>-22674.29019999993</v>
      </c>
      <c r="H30" s="244">
        <v>0</v>
      </c>
      <c r="I30" s="35">
        <v>-29082.600000000093</v>
      </c>
    </row>
    <row r="31" spans="1:9">
      <c r="A31" s="120">
        <v>0</v>
      </c>
      <c r="B31" s="28" t="s">
        <v>582</v>
      </c>
      <c r="C31" s="118">
        <v>0</v>
      </c>
      <c r="D31" s="123">
        <v>0</v>
      </c>
      <c r="E31" s="118">
        <v>0</v>
      </c>
      <c r="F31" s="123">
        <v>0</v>
      </c>
      <c r="G31" s="118">
        <v>0</v>
      </c>
      <c r="H31" s="245">
        <v>0</v>
      </c>
      <c r="I31" s="119">
        <v>0</v>
      </c>
    </row>
    <row r="32" spans="1:9">
      <c r="A32" s="56" t="s">
        <v>583</v>
      </c>
      <c r="B32" s="29" t="s">
        <v>584</v>
      </c>
      <c r="C32" s="15">
        <v>17808.900000000001</v>
      </c>
      <c r="D32" s="16">
        <v>-0.16839333142417562</v>
      </c>
      <c r="E32" s="15">
        <v>14810</v>
      </c>
      <c r="F32" s="16">
        <v>5.9664355840648199E-2</v>
      </c>
      <c r="G32" s="15">
        <v>15693.62911</v>
      </c>
      <c r="H32" s="41">
        <v>0.19029192477201343</v>
      </c>
      <c r="I32" s="17">
        <v>18680</v>
      </c>
    </row>
    <row r="33" spans="1:9">
      <c r="A33" s="56" t="s">
        <v>585</v>
      </c>
      <c r="B33" s="29" t="s">
        <v>586</v>
      </c>
      <c r="C33" s="15">
        <v>63.2</v>
      </c>
      <c r="D33" s="16">
        <v>-5.0632911392405104E-2</v>
      </c>
      <c r="E33" s="15">
        <v>60</v>
      </c>
      <c r="F33" s="16">
        <v>-0.12416666666666672</v>
      </c>
      <c r="G33" s="15">
        <v>52.55</v>
      </c>
      <c r="H33" s="41">
        <v>0.14176974310180787</v>
      </c>
      <c r="I33" s="17">
        <v>60</v>
      </c>
    </row>
    <row r="34" spans="1:9">
      <c r="A34" s="8" t="s">
        <v>587</v>
      </c>
      <c r="B34" s="29" t="s">
        <v>588</v>
      </c>
      <c r="C34" s="15">
        <v>21444.400000000001</v>
      </c>
      <c r="D34" s="16">
        <v>0.565070601182593</v>
      </c>
      <c r="E34" s="15">
        <v>33562</v>
      </c>
      <c r="F34" s="16">
        <v>-0.21545424051010079</v>
      </c>
      <c r="G34" s="15">
        <v>26330.924779999998</v>
      </c>
      <c r="H34" s="41">
        <v>-0.29360627644465126</v>
      </c>
      <c r="I34" s="17">
        <v>18600</v>
      </c>
    </row>
    <row r="35" spans="1:9">
      <c r="A35" s="48" t="s">
        <v>589</v>
      </c>
      <c r="B35" s="49" t="s">
        <v>590</v>
      </c>
      <c r="C35" s="24">
        <v>39316.5</v>
      </c>
      <c r="D35" s="51">
        <v>0.23184922360840868</v>
      </c>
      <c r="E35" s="24">
        <v>48432</v>
      </c>
      <c r="F35" s="51">
        <v>-0.1312127541707962</v>
      </c>
      <c r="G35" s="24">
        <v>42077.103889999999</v>
      </c>
      <c r="H35" s="243">
        <v>-0.11258150994383941</v>
      </c>
      <c r="I35" s="26">
        <v>37340</v>
      </c>
    </row>
    <row r="36" spans="1:9">
      <c r="A36" s="8" t="s">
        <v>591</v>
      </c>
      <c r="B36" s="29" t="s">
        <v>592</v>
      </c>
      <c r="C36" s="15">
        <v>0</v>
      </c>
      <c r="D36" s="16" t="s">
        <v>555</v>
      </c>
      <c r="E36" s="15">
        <v>0</v>
      </c>
      <c r="F36" s="16" t="s">
        <v>555</v>
      </c>
      <c r="G36" s="15">
        <v>0</v>
      </c>
      <c r="H36" s="41" t="s">
        <v>555</v>
      </c>
      <c r="I36" s="17">
        <v>0</v>
      </c>
    </row>
    <row r="37" spans="1:9">
      <c r="A37" s="8" t="s">
        <v>593</v>
      </c>
      <c r="B37" s="29" t="s">
        <v>594</v>
      </c>
      <c r="C37" s="15">
        <v>13384.3</v>
      </c>
      <c r="D37" s="16">
        <v>0.49563294307509553</v>
      </c>
      <c r="E37" s="15">
        <v>20018</v>
      </c>
      <c r="F37" s="16">
        <v>0.17983510365670902</v>
      </c>
      <c r="G37" s="15">
        <v>23617.939105000001</v>
      </c>
      <c r="H37" s="41">
        <v>-0.54830944594392883</v>
      </c>
      <c r="I37" s="17">
        <v>10668</v>
      </c>
    </row>
    <row r="38" spans="1:9">
      <c r="A38" s="48" t="s">
        <v>595</v>
      </c>
      <c r="B38" s="49" t="s">
        <v>596</v>
      </c>
      <c r="C38" s="24">
        <v>13384.3</v>
      </c>
      <c r="D38" s="51">
        <v>0.49563294307509553</v>
      </c>
      <c r="E38" s="24">
        <v>20018</v>
      </c>
      <c r="F38" s="51">
        <v>0.17983510365670902</v>
      </c>
      <c r="G38" s="24">
        <v>23617.939105000001</v>
      </c>
      <c r="H38" s="243">
        <v>-0.54830944594392883</v>
      </c>
      <c r="I38" s="26">
        <v>10668</v>
      </c>
    </row>
    <row r="39" spans="1:9">
      <c r="A39" s="36" t="s">
        <v>597</v>
      </c>
      <c r="B39" s="37" t="s">
        <v>3</v>
      </c>
      <c r="C39" s="38">
        <v>25932.2</v>
      </c>
      <c r="D39" s="39">
        <v>9.5703411203060251E-2</v>
      </c>
      <c r="E39" s="38">
        <v>28414</v>
      </c>
      <c r="F39" s="39">
        <v>-0.35034965914689953</v>
      </c>
      <c r="G39" s="38">
        <v>18459.164784999997</v>
      </c>
      <c r="H39" s="246">
        <v>0.44491911257403099</v>
      </c>
      <c r="I39" s="40">
        <v>26672</v>
      </c>
    </row>
    <row r="40" spans="1:9">
      <c r="A40" s="112" t="s">
        <v>0</v>
      </c>
      <c r="B40" s="29" t="s">
        <v>85</v>
      </c>
      <c r="C40" s="15">
        <v>-80.400000000045111</v>
      </c>
      <c r="D40" s="16">
        <v>241.01990049737432</v>
      </c>
      <c r="E40" s="15">
        <v>-19458.399999999812</v>
      </c>
      <c r="F40" s="16">
        <v>-0.72083346575258078</v>
      </c>
      <c r="G40" s="15">
        <v>-5432.1340899999304</v>
      </c>
      <c r="H40" s="41">
        <v>0.82615153375203587</v>
      </c>
      <c r="I40" s="17">
        <v>-9919.9000000000924</v>
      </c>
    </row>
    <row r="41" spans="1:9">
      <c r="A41" s="112" t="s">
        <v>0</v>
      </c>
      <c r="B41" s="29" t="s">
        <v>598</v>
      </c>
      <c r="C41" s="15">
        <v>-26012.600000000046</v>
      </c>
      <c r="D41" s="16">
        <v>0.84035428984414196</v>
      </c>
      <c r="E41" s="15">
        <v>-47872.399999999812</v>
      </c>
      <c r="F41" s="16">
        <v>-0.50093793344390458</v>
      </c>
      <c r="G41" s="15">
        <v>-23891.298874999928</v>
      </c>
      <c r="H41" s="41">
        <v>0.53159944092827005</v>
      </c>
      <c r="I41" s="17">
        <v>-36591.900000000096</v>
      </c>
    </row>
    <row r="42" spans="1:9">
      <c r="A42" s="121" t="s">
        <v>0</v>
      </c>
      <c r="B42" s="31" t="s">
        <v>599</v>
      </c>
      <c r="C42" s="20">
        <v>657853.20000000007</v>
      </c>
      <c r="D42" s="111">
        <v>2.1809576969451187E-2</v>
      </c>
      <c r="E42" s="20">
        <v>672200.69999999984</v>
      </c>
      <c r="F42" s="111">
        <v>-1.7716560991382153E-2</v>
      </c>
      <c r="G42" s="20">
        <v>660291.61530000006</v>
      </c>
      <c r="H42" s="247">
        <v>-4.2963067139829185E-3</v>
      </c>
      <c r="I42" s="21">
        <v>657454.80000000005</v>
      </c>
    </row>
    <row r="43" spans="1:9">
      <c r="A43" s="121">
        <v>0</v>
      </c>
      <c r="B43" s="31" t="s">
        <v>5</v>
      </c>
      <c r="C43" s="60" t="s">
        <v>601</v>
      </c>
      <c r="D43" s="122">
        <v>0</v>
      </c>
      <c r="E43" s="60" t="s">
        <v>601</v>
      </c>
      <c r="F43" s="167">
        <v>0</v>
      </c>
      <c r="G43" s="60" t="s">
        <v>601</v>
      </c>
      <c r="H43" s="167">
        <v>0</v>
      </c>
      <c r="I43" s="168" t="s">
        <v>601</v>
      </c>
    </row>
  </sheetData>
  <phoneticPr fontId="7" type="noConversion"/>
  <pageMargins left="0.23622047244094491" right="0.23622047244094491" top="0.74803149606299213" bottom="0.74803149606299213" header="0.31496062992125984" footer="0.31496062992125984"/>
  <pageSetup paperSize="9" orientation="landscape" r:id="rId1"/>
  <headerFooter alignWithMargins="0">
    <oddHeader>&amp;LFachgruppe für kantonale Finanzfragen (FkF)
Groupe d'études pour les finances cantonales
&amp;CKanton VD&amp;RZürich, 11.05.2015</oddHeader>
    <oddFooter>&amp;L&amp;F / &amp;A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2">
    <tabColor rgb="FF00B050"/>
  </sheetPr>
  <dimension ref="A1:AN186"/>
  <sheetViews>
    <sheetView zoomScale="115" zoomScaleNormal="115" workbookViewId="0">
      <selection activeCell="G10" sqref="G10"/>
    </sheetView>
  </sheetViews>
  <sheetFormatPr baseColWidth="10" defaultColWidth="11.42578125" defaultRowHeight="12.75"/>
  <cols>
    <col min="1" max="1" width="15.140625" style="470" customWidth="1"/>
    <col min="2" max="2" width="3.7109375" style="470" customWidth="1"/>
    <col min="3" max="3" width="44.7109375" style="470" customWidth="1"/>
    <col min="4" max="16384" width="11.42578125" style="470"/>
  </cols>
  <sheetData>
    <row r="1" spans="1:40" s="642" customFormat="1" ht="18" customHeight="1">
      <c r="A1" s="647" t="s">
        <v>258</v>
      </c>
      <c r="B1" s="671" t="s">
        <v>264</v>
      </c>
      <c r="C1" s="671" t="s">
        <v>263</v>
      </c>
      <c r="D1" s="643" t="s">
        <v>255</v>
      </c>
      <c r="E1" s="644" t="s">
        <v>254</v>
      </c>
      <c r="F1" s="643" t="s">
        <v>255</v>
      </c>
      <c r="G1" s="644" t="s">
        <v>254</v>
      </c>
      <c r="H1" s="608"/>
      <c r="I1" s="608"/>
      <c r="J1" s="608"/>
      <c r="K1" s="608"/>
      <c r="L1" s="608"/>
      <c r="M1" s="608"/>
      <c r="N1" s="608"/>
      <c r="O1" s="608"/>
      <c r="P1" s="608"/>
      <c r="Q1" s="608"/>
      <c r="R1" s="608"/>
      <c r="S1" s="608"/>
      <c r="T1" s="608"/>
      <c r="U1" s="608"/>
      <c r="V1" s="608"/>
      <c r="W1" s="608"/>
      <c r="X1" s="608"/>
      <c r="Y1" s="608"/>
      <c r="Z1" s="608"/>
      <c r="AA1" s="608"/>
      <c r="AB1" s="608"/>
      <c r="AC1" s="608"/>
      <c r="AD1" s="608"/>
      <c r="AE1" s="608"/>
      <c r="AF1" s="608"/>
      <c r="AG1" s="608"/>
      <c r="AH1" s="608"/>
      <c r="AI1" s="608"/>
      <c r="AJ1" s="608"/>
      <c r="AK1" s="608"/>
      <c r="AL1" s="608"/>
      <c r="AM1" s="608"/>
      <c r="AN1" s="608"/>
    </row>
    <row r="2" spans="1:40" s="636" customFormat="1" ht="15" customHeight="1">
      <c r="A2" s="641"/>
      <c r="B2" s="640"/>
      <c r="C2" s="639" t="s">
        <v>253</v>
      </c>
      <c r="D2" s="637">
        <v>2013</v>
      </c>
      <c r="E2" s="638">
        <v>2014</v>
      </c>
      <c r="F2" s="637">
        <v>2014</v>
      </c>
      <c r="G2" s="638">
        <v>2015</v>
      </c>
    </row>
    <row r="3" spans="1:40" ht="15" customHeight="1">
      <c r="A3" s="949" t="s">
        <v>252</v>
      </c>
      <c r="B3" s="950"/>
      <c r="C3" s="950"/>
      <c r="D3" s="512"/>
      <c r="E3" s="635" t="s">
        <v>251</v>
      </c>
      <c r="F3" s="635" t="s">
        <v>251</v>
      </c>
      <c r="G3" s="635" t="s">
        <v>251</v>
      </c>
    </row>
    <row r="4" spans="1:40" s="480" customFormat="1" ht="12.75" customHeight="1">
      <c r="A4" s="670">
        <v>30</v>
      </c>
      <c r="B4" s="669"/>
      <c r="C4" s="632" t="s">
        <v>250</v>
      </c>
      <c r="D4" s="411">
        <v>76948.3</v>
      </c>
      <c r="E4" s="411">
        <v>76097.3</v>
      </c>
      <c r="F4" s="411">
        <v>74803.899999999994</v>
      </c>
      <c r="G4" s="411">
        <v>75701.7</v>
      </c>
    </row>
    <row r="5" spans="1:40" s="480" customFormat="1" ht="12.75" customHeight="1">
      <c r="A5" s="591">
        <v>31</v>
      </c>
      <c r="B5" s="587"/>
      <c r="C5" s="585" t="s">
        <v>249</v>
      </c>
      <c r="D5" s="317">
        <v>36706.300000000003</v>
      </c>
      <c r="E5" s="317">
        <v>48292.2</v>
      </c>
      <c r="F5" s="317">
        <v>45063.9</v>
      </c>
      <c r="G5" s="362">
        <v>47107.5</v>
      </c>
    </row>
    <row r="6" spans="1:40" s="480" customFormat="1" ht="12.75" customHeight="1">
      <c r="A6" s="630" t="s">
        <v>248</v>
      </c>
      <c r="B6" s="586"/>
      <c r="C6" s="616" t="s">
        <v>247</v>
      </c>
      <c r="D6" s="322">
        <v>4280.7</v>
      </c>
      <c r="E6" s="322">
        <v>16216.3</v>
      </c>
      <c r="F6" s="322">
        <v>15021.7</v>
      </c>
      <c r="G6" s="362">
        <v>14110.3</v>
      </c>
    </row>
    <row r="7" spans="1:40" s="480" customFormat="1" ht="12.75" customHeight="1">
      <c r="A7" s="630" t="s">
        <v>246</v>
      </c>
      <c r="B7" s="586"/>
      <c r="C7" s="616" t="s">
        <v>245</v>
      </c>
      <c r="D7" s="322">
        <v>0</v>
      </c>
      <c r="E7" s="322">
        <v>0</v>
      </c>
      <c r="F7" s="322">
        <v>564.1</v>
      </c>
      <c r="G7" s="362">
        <v>0</v>
      </c>
    </row>
    <row r="8" spans="1:40" s="480" customFormat="1" ht="12.75" customHeight="1">
      <c r="A8" s="593">
        <v>330</v>
      </c>
      <c r="B8" s="587"/>
      <c r="C8" s="585" t="s">
        <v>244</v>
      </c>
      <c r="D8" s="317">
        <v>24154</v>
      </c>
      <c r="E8" s="317">
        <v>13704.6</v>
      </c>
      <c r="F8" s="317">
        <v>12965</v>
      </c>
      <c r="G8" s="362">
        <v>14684.6</v>
      </c>
    </row>
    <row r="9" spans="1:40" s="480" customFormat="1" ht="12.75" customHeight="1">
      <c r="A9" s="593">
        <v>332</v>
      </c>
      <c r="B9" s="587"/>
      <c r="C9" s="585" t="s">
        <v>243</v>
      </c>
      <c r="D9" s="317">
        <v>149.9</v>
      </c>
      <c r="E9" s="317">
        <v>42.1</v>
      </c>
      <c r="F9" s="317">
        <v>845.9</v>
      </c>
      <c r="G9" s="362">
        <v>0</v>
      </c>
    </row>
    <row r="10" spans="1:40" s="480" customFormat="1" ht="12.75" customHeight="1">
      <c r="A10" s="593">
        <v>339</v>
      </c>
      <c r="B10" s="587"/>
      <c r="C10" s="585" t="s">
        <v>242</v>
      </c>
      <c r="D10" s="317">
        <v>0</v>
      </c>
      <c r="E10" s="317">
        <v>0</v>
      </c>
      <c r="F10" s="317">
        <v>0</v>
      </c>
      <c r="G10" s="362">
        <v>0</v>
      </c>
    </row>
    <row r="11" spans="1:40" s="480" customFormat="1" ht="12.75" customHeight="1">
      <c r="A11" s="591">
        <v>350</v>
      </c>
      <c r="B11" s="587"/>
      <c r="C11" s="585" t="s">
        <v>241</v>
      </c>
      <c r="D11" s="317">
        <v>451.5</v>
      </c>
      <c r="E11" s="317">
        <v>753.2</v>
      </c>
      <c r="F11" s="317">
        <v>608.4</v>
      </c>
      <c r="G11" s="362">
        <v>430.5</v>
      </c>
    </row>
    <row r="12" spans="1:40" s="579" customFormat="1">
      <c r="A12" s="597">
        <v>351</v>
      </c>
      <c r="B12" s="596"/>
      <c r="C12" s="589" t="s">
        <v>240</v>
      </c>
      <c r="D12" s="450">
        <v>1604.3</v>
      </c>
      <c r="E12" s="450">
        <v>0</v>
      </c>
      <c r="F12" s="450">
        <v>0</v>
      </c>
      <c r="G12" s="362">
        <v>0</v>
      </c>
    </row>
    <row r="13" spans="1:40" s="480" customFormat="1" ht="12.75" customHeight="1">
      <c r="A13" s="591">
        <v>36</v>
      </c>
      <c r="B13" s="587"/>
      <c r="C13" s="585" t="s">
        <v>239</v>
      </c>
      <c r="D13" s="322">
        <v>240498.8</v>
      </c>
      <c r="E13" s="322">
        <v>240791.9</v>
      </c>
      <c r="F13" s="322">
        <v>245726.3</v>
      </c>
      <c r="G13" s="362">
        <v>237862.2</v>
      </c>
    </row>
    <row r="14" spans="1:40" s="480" customFormat="1" ht="12.75" customHeight="1">
      <c r="A14" s="629" t="s">
        <v>238</v>
      </c>
      <c r="B14" s="587"/>
      <c r="C14" s="627" t="s">
        <v>237</v>
      </c>
      <c r="D14" s="322">
        <v>18725.8</v>
      </c>
      <c r="E14" s="322">
        <v>20296.599999999999</v>
      </c>
      <c r="F14" s="322">
        <v>20881.5</v>
      </c>
      <c r="G14" s="362">
        <v>20291.099999999999</v>
      </c>
    </row>
    <row r="15" spans="1:40" s="480" customFormat="1" ht="12.75" customHeight="1">
      <c r="A15" s="629" t="s">
        <v>236</v>
      </c>
      <c r="B15" s="587"/>
      <c r="C15" s="627" t="s">
        <v>235</v>
      </c>
      <c r="D15" s="322">
        <v>44105.3</v>
      </c>
      <c r="E15" s="322">
        <v>45718</v>
      </c>
      <c r="F15" s="322">
        <v>48083.4</v>
      </c>
      <c r="G15" s="362">
        <v>45653.4</v>
      </c>
    </row>
    <row r="16" spans="1:40" s="626" customFormat="1" ht="26.25" customHeight="1">
      <c r="A16" s="629" t="s">
        <v>234</v>
      </c>
      <c r="B16" s="668"/>
      <c r="C16" s="627" t="s">
        <v>233</v>
      </c>
      <c r="D16" s="442">
        <v>4399.7</v>
      </c>
      <c r="E16" s="442">
        <v>2395.3000000000002</v>
      </c>
      <c r="F16" s="442">
        <v>1510.4</v>
      </c>
      <c r="G16" s="362">
        <v>2253.1</v>
      </c>
    </row>
    <row r="17" spans="1:7" s="622" customFormat="1">
      <c r="A17" s="591">
        <v>37</v>
      </c>
      <c r="B17" s="587"/>
      <c r="C17" s="585" t="s">
        <v>211</v>
      </c>
      <c r="D17" s="431">
        <v>35999.199999999997</v>
      </c>
      <c r="E17" s="431">
        <v>37856</v>
      </c>
      <c r="F17" s="431">
        <v>37054.800000000003</v>
      </c>
      <c r="G17" s="362">
        <v>37358</v>
      </c>
    </row>
    <row r="18" spans="1:7" s="622" customFormat="1">
      <c r="A18" s="617" t="s">
        <v>232</v>
      </c>
      <c r="B18" s="586"/>
      <c r="C18" s="616" t="s">
        <v>231</v>
      </c>
      <c r="D18" s="438">
        <v>0</v>
      </c>
      <c r="E18" s="438">
        <v>0</v>
      </c>
      <c r="F18" s="438">
        <v>0</v>
      </c>
      <c r="G18" s="362">
        <v>0</v>
      </c>
    </row>
    <row r="19" spans="1:7" s="622" customFormat="1">
      <c r="A19" s="617" t="s">
        <v>230</v>
      </c>
      <c r="B19" s="586"/>
      <c r="C19" s="616" t="s">
        <v>229</v>
      </c>
      <c r="D19" s="438">
        <v>192</v>
      </c>
      <c r="E19" s="438">
        <v>390</v>
      </c>
      <c r="F19" s="438">
        <v>194.5</v>
      </c>
      <c r="G19" s="362">
        <v>290</v>
      </c>
    </row>
    <row r="20" spans="1:7" s="480" customFormat="1" ht="12.75" customHeight="1">
      <c r="A20" s="615">
        <v>39</v>
      </c>
      <c r="B20" s="614"/>
      <c r="C20" s="583" t="s">
        <v>228</v>
      </c>
      <c r="D20" s="333">
        <v>38124.1</v>
      </c>
      <c r="E20" s="333">
        <v>39083.1</v>
      </c>
      <c r="F20" s="333">
        <v>33734.199999999997</v>
      </c>
      <c r="G20" s="355">
        <v>34240.199999999997</v>
      </c>
    </row>
    <row r="21" spans="1:7" ht="12.75" customHeight="1">
      <c r="A21" s="578"/>
      <c r="B21" s="578"/>
      <c r="C21" s="576" t="s">
        <v>227</v>
      </c>
      <c r="D21" s="380">
        <f>D4+D5+SUM(D8:D13)+D17</f>
        <v>416512.3</v>
      </c>
      <c r="E21" s="380">
        <f>E4+E5+SUM(E8:E13)+E17</f>
        <v>417537.3</v>
      </c>
      <c r="F21" s="380">
        <f>F4+F5+SUM(F8:F13)+F17</f>
        <v>417068.19999999995</v>
      </c>
      <c r="G21" s="380">
        <f>G4+G5+SUM(G8:G13)+G17</f>
        <v>413144.5</v>
      </c>
    </row>
    <row r="22" spans="1:7" s="480" customFormat="1" ht="12.75" customHeight="1">
      <c r="A22" s="593" t="s">
        <v>226</v>
      </c>
      <c r="B22" s="587"/>
      <c r="C22" s="585" t="s">
        <v>225</v>
      </c>
      <c r="D22" s="317">
        <v>126511.1</v>
      </c>
      <c r="E22" s="317">
        <v>138810</v>
      </c>
      <c r="F22" s="317">
        <v>139008.70000000001</v>
      </c>
      <c r="G22" s="317">
        <v>148492</v>
      </c>
    </row>
    <row r="23" spans="1:7" s="480" customFormat="1" ht="12.75" customHeight="1">
      <c r="A23" s="593" t="s">
        <v>224</v>
      </c>
      <c r="B23" s="587"/>
      <c r="C23" s="585" t="s">
        <v>223</v>
      </c>
      <c r="D23" s="317">
        <v>26743.8</v>
      </c>
      <c r="E23" s="317">
        <v>26575</v>
      </c>
      <c r="F23" s="317">
        <v>27427.7</v>
      </c>
      <c r="G23" s="317">
        <v>27740</v>
      </c>
    </row>
    <row r="24" spans="1:7" s="621" customFormat="1" ht="12.75" customHeight="1">
      <c r="A24" s="591">
        <v>41</v>
      </c>
      <c r="B24" s="587"/>
      <c r="C24" s="585" t="s">
        <v>222</v>
      </c>
      <c r="D24" s="317">
        <v>3149.9</v>
      </c>
      <c r="E24" s="317">
        <v>3113.8</v>
      </c>
      <c r="F24" s="317">
        <v>3192.7</v>
      </c>
      <c r="G24" s="317">
        <v>3213.8</v>
      </c>
    </row>
    <row r="25" spans="1:7" s="480" customFormat="1" ht="12.75" customHeight="1">
      <c r="A25" s="620">
        <v>42</v>
      </c>
      <c r="B25" s="619"/>
      <c r="C25" s="585" t="s">
        <v>221</v>
      </c>
      <c r="D25" s="317">
        <v>19535.900000000001</v>
      </c>
      <c r="E25" s="317">
        <v>20550.2</v>
      </c>
      <c r="F25" s="317">
        <v>21987.200000000001</v>
      </c>
      <c r="G25" s="317">
        <v>21256.3</v>
      </c>
    </row>
    <row r="26" spans="1:7" s="618" customFormat="1" ht="12.75" customHeight="1">
      <c r="A26" s="597">
        <v>430</v>
      </c>
      <c r="B26" s="587"/>
      <c r="C26" s="585" t="s">
        <v>220</v>
      </c>
      <c r="D26" s="431">
        <v>2818.4</v>
      </c>
      <c r="E26" s="431">
        <v>2596</v>
      </c>
      <c r="F26" s="431">
        <v>2373.6</v>
      </c>
      <c r="G26" s="431">
        <v>2740</v>
      </c>
    </row>
    <row r="27" spans="1:7" s="618" customFormat="1" ht="12.75" customHeight="1">
      <c r="A27" s="597">
        <v>431</v>
      </c>
      <c r="B27" s="587"/>
      <c r="C27" s="585" t="s">
        <v>219</v>
      </c>
      <c r="D27" s="431">
        <v>1984.3</v>
      </c>
      <c r="E27" s="431">
        <v>2158</v>
      </c>
      <c r="F27" s="431">
        <v>1922.8</v>
      </c>
      <c r="G27" s="431">
        <v>1606</v>
      </c>
    </row>
    <row r="28" spans="1:7" s="618" customFormat="1" ht="12.75" customHeight="1">
      <c r="A28" s="597">
        <v>432</v>
      </c>
      <c r="B28" s="587"/>
      <c r="C28" s="585" t="s">
        <v>218</v>
      </c>
      <c r="D28" s="431">
        <v>0</v>
      </c>
      <c r="E28" s="431">
        <v>0</v>
      </c>
      <c r="F28" s="431">
        <v>0</v>
      </c>
      <c r="G28" s="431">
        <v>0</v>
      </c>
    </row>
    <row r="29" spans="1:7" s="618" customFormat="1" ht="12.75" customHeight="1">
      <c r="A29" s="597">
        <v>439</v>
      </c>
      <c r="B29" s="587"/>
      <c r="C29" s="585" t="s">
        <v>217</v>
      </c>
      <c r="D29" s="431">
        <v>1105.3</v>
      </c>
      <c r="E29" s="431">
        <v>722.8</v>
      </c>
      <c r="F29" s="431">
        <v>716.8</v>
      </c>
      <c r="G29" s="431">
        <v>953</v>
      </c>
    </row>
    <row r="30" spans="1:7" s="480" customFormat="1" ht="25.5">
      <c r="A30" s="597">
        <v>450</v>
      </c>
      <c r="B30" s="596"/>
      <c r="C30" s="589" t="s">
        <v>216</v>
      </c>
      <c r="D30" s="362">
        <v>60.3</v>
      </c>
      <c r="E30" s="362">
        <v>2012.2</v>
      </c>
      <c r="F30" s="362">
        <v>288.60000000000002</v>
      </c>
      <c r="G30" s="362">
        <v>407.2</v>
      </c>
    </row>
    <row r="31" spans="1:7" s="579" customFormat="1" ht="25.5">
      <c r="A31" s="597">
        <v>451</v>
      </c>
      <c r="B31" s="596"/>
      <c r="C31" s="589" t="s">
        <v>215</v>
      </c>
      <c r="D31" s="311">
        <v>2336.6</v>
      </c>
      <c r="E31" s="311">
        <v>0</v>
      </c>
      <c r="F31" s="311">
        <v>0</v>
      </c>
      <c r="G31" s="311">
        <v>0</v>
      </c>
    </row>
    <row r="32" spans="1:7" s="480" customFormat="1" ht="12.75" customHeight="1">
      <c r="A32" s="591">
        <v>46</v>
      </c>
      <c r="B32" s="587"/>
      <c r="C32" s="585" t="s">
        <v>214</v>
      </c>
      <c r="D32" s="317">
        <v>156503.9</v>
      </c>
      <c r="E32" s="317">
        <v>147548.5</v>
      </c>
      <c r="F32" s="317">
        <v>149675.70000000001</v>
      </c>
      <c r="G32" s="317">
        <v>153278.79999999999</v>
      </c>
    </row>
    <row r="33" spans="1:7" s="579" customFormat="1" ht="12.75" customHeight="1">
      <c r="A33" s="617" t="s">
        <v>213</v>
      </c>
      <c r="B33" s="586"/>
      <c r="C33" s="616" t="s">
        <v>212</v>
      </c>
      <c r="D33" s="322">
        <v>0</v>
      </c>
      <c r="E33" s="322">
        <v>0</v>
      </c>
      <c r="F33" s="322">
        <v>0</v>
      </c>
      <c r="G33" s="322">
        <v>0</v>
      </c>
    </row>
    <row r="34" spans="1:7" s="480" customFormat="1" ht="15" customHeight="1">
      <c r="A34" s="591">
        <v>47</v>
      </c>
      <c r="B34" s="587"/>
      <c r="C34" s="585" t="s">
        <v>211</v>
      </c>
      <c r="D34" s="317">
        <f>D17</f>
        <v>35999.199999999997</v>
      </c>
      <c r="E34" s="317">
        <v>37856</v>
      </c>
      <c r="F34" s="317">
        <v>37054.800000000003</v>
      </c>
      <c r="G34" s="317">
        <v>37358</v>
      </c>
    </row>
    <row r="35" spans="1:7" s="480" customFormat="1" ht="15" customHeight="1">
      <c r="A35" s="615">
        <v>49</v>
      </c>
      <c r="B35" s="614"/>
      <c r="C35" s="583" t="s">
        <v>210</v>
      </c>
      <c r="D35" s="333">
        <f>D20</f>
        <v>38124.1</v>
      </c>
      <c r="E35" s="333">
        <v>39083.1</v>
      </c>
      <c r="F35" s="333">
        <v>33734.199999999997</v>
      </c>
      <c r="G35" s="333">
        <v>34240.199999999997</v>
      </c>
    </row>
    <row r="36" spans="1:7" ht="13.5" customHeight="1">
      <c r="A36" s="578"/>
      <c r="B36" s="606"/>
      <c r="C36" s="576" t="s">
        <v>209</v>
      </c>
      <c r="D36" s="380">
        <f>D22+D23+D24+D25+D26+D27+D28+D29+D30+D31+D32+D34</f>
        <v>376748.69999999995</v>
      </c>
      <c r="E36" s="380">
        <f>E22+E23+E24+E25+E26+E27+E28+E29+E30+E31+E32+E34</f>
        <v>381942.5</v>
      </c>
      <c r="F36" s="380">
        <f>F22+F23+F24+F25+F26+F27+F28+F29+F30+F31+F32+F34</f>
        <v>383648.60000000003</v>
      </c>
      <c r="G36" s="380">
        <f>G22+G23+G24+G25+G26+G27+G28+G29+G30+G31+G32+G34</f>
        <v>397045.1</v>
      </c>
    </row>
    <row r="37" spans="1:7" s="667" customFormat="1" ht="15" customHeight="1">
      <c r="A37" s="578"/>
      <c r="B37" s="606"/>
      <c r="C37" s="576" t="s">
        <v>208</v>
      </c>
      <c r="D37" s="380">
        <f>D36-D21</f>
        <v>-39763.600000000035</v>
      </c>
      <c r="E37" s="380">
        <f>E36-E21</f>
        <v>-35594.799999999988</v>
      </c>
      <c r="F37" s="380">
        <f>F36-F21</f>
        <v>-33419.599999999919</v>
      </c>
      <c r="G37" s="380">
        <f>G36-G21</f>
        <v>-16099.400000000023</v>
      </c>
    </row>
    <row r="38" spans="1:7" s="579" customFormat="1" ht="15" customHeight="1">
      <c r="A38" s="593">
        <v>340</v>
      </c>
      <c r="B38" s="587"/>
      <c r="C38" s="585" t="s">
        <v>207</v>
      </c>
      <c r="D38" s="317">
        <v>948.7</v>
      </c>
      <c r="E38" s="317">
        <v>1237</v>
      </c>
      <c r="F38" s="317">
        <v>1146.5</v>
      </c>
      <c r="G38" s="317">
        <v>1260</v>
      </c>
    </row>
    <row r="39" spans="1:7" s="579" customFormat="1" ht="15" customHeight="1">
      <c r="A39" s="593">
        <v>341</v>
      </c>
      <c r="B39" s="587"/>
      <c r="C39" s="585" t="s">
        <v>206</v>
      </c>
      <c r="D39" s="317">
        <v>0</v>
      </c>
      <c r="E39" s="317">
        <v>0</v>
      </c>
      <c r="F39" s="317">
        <v>0</v>
      </c>
      <c r="G39" s="317">
        <v>0</v>
      </c>
    </row>
    <row r="40" spans="1:7" s="579" customFormat="1" ht="15" customHeight="1">
      <c r="A40" s="593">
        <v>342</v>
      </c>
      <c r="B40" s="587"/>
      <c r="C40" s="585" t="s">
        <v>205</v>
      </c>
      <c r="D40" s="317">
        <v>3</v>
      </c>
      <c r="E40" s="317">
        <v>0</v>
      </c>
      <c r="F40" s="317">
        <v>478.7</v>
      </c>
      <c r="G40" s="317">
        <v>34.700000000000003</v>
      </c>
    </row>
    <row r="41" spans="1:7" s="579" customFormat="1" ht="15" customHeight="1">
      <c r="A41" s="593">
        <v>343</v>
      </c>
      <c r="B41" s="587"/>
      <c r="C41" s="585" t="s">
        <v>204</v>
      </c>
      <c r="D41" s="317">
        <v>818.9</v>
      </c>
      <c r="E41" s="317">
        <v>777</v>
      </c>
      <c r="F41" s="317">
        <v>779.8</v>
      </c>
      <c r="G41" s="317">
        <v>1047.4000000000001</v>
      </c>
    </row>
    <row r="42" spans="1:7" s="579" customFormat="1" ht="15" customHeight="1">
      <c r="A42" s="593">
        <v>344</v>
      </c>
      <c r="B42" s="587"/>
      <c r="C42" s="585" t="s">
        <v>198</v>
      </c>
      <c r="D42" s="317">
        <v>400.3</v>
      </c>
      <c r="E42" s="317">
        <v>9</v>
      </c>
      <c r="F42" s="317">
        <v>286.39999999999998</v>
      </c>
      <c r="G42" s="317">
        <v>0</v>
      </c>
    </row>
    <row r="43" spans="1:7" s="579" customFormat="1" ht="15" customHeight="1">
      <c r="A43" s="593">
        <v>349</v>
      </c>
      <c r="B43" s="587"/>
      <c r="C43" s="585" t="s">
        <v>203</v>
      </c>
      <c r="D43" s="317">
        <v>0.9</v>
      </c>
      <c r="E43" s="317">
        <v>0</v>
      </c>
      <c r="F43" s="317">
        <v>0</v>
      </c>
      <c r="G43" s="317">
        <v>1</v>
      </c>
    </row>
    <row r="44" spans="1:7" s="480" customFormat="1" ht="15" customHeight="1">
      <c r="A44" s="591">
        <v>440</v>
      </c>
      <c r="B44" s="587"/>
      <c r="C44" s="585" t="s">
        <v>202</v>
      </c>
      <c r="D44" s="317">
        <v>950.1</v>
      </c>
      <c r="E44" s="317">
        <v>955.7</v>
      </c>
      <c r="F44" s="317">
        <v>942.2</v>
      </c>
      <c r="G44" s="317">
        <v>884.5</v>
      </c>
    </row>
    <row r="45" spans="1:7" s="480" customFormat="1" ht="15" customHeight="1">
      <c r="A45" s="591">
        <v>441</v>
      </c>
      <c r="B45" s="587"/>
      <c r="C45" s="585" t="s">
        <v>201</v>
      </c>
      <c r="D45" s="317">
        <v>1</v>
      </c>
      <c r="E45" s="317">
        <v>0</v>
      </c>
      <c r="F45" s="317">
        <v>6894.9</v>
      </c>
      <c r="G45" s="317">
        <v>1</v>
      </c>
    </row>
    <row r="46" spans="1:7" s="480" customFormat="1" ht="15" customHeight="1">
      <c r="A46" s="591">
        <v>442</v>
      </c>
      <c r="B46" s="587"/>
      <c r="C46" s="585" t="s">
        <v>200</v>
      </c>
      <c r="D46" s="317">
        <v>56.5</v>
      </c>
      <c r="E46" s="317">
        <v>0</v>
      </c>
      <c r="F46" s="317">
        <v>548.46</v>
      </c>
      <c r="G46" s="317">
        <v>0</v>
      </c>
    </row>
    <row r="47" spans="1:7" s="480" customFormat="1" ht="15" customHeight="1">
      <c r="A47" s="591">
        <v>443</v>
      </c>
      <c r="B47" s="587"/>
      <c r="C47" s="585" t="s">
        <v>199</v>
      </c>
      <c r="D47" s="317">
        <v>1793.8</v>
      </c>
      <c r="E47" s="317">
        <v>1729.1</v>
      </c>
      <c r="F47" s="317">
        <v>1824.6</v>
      </c>
      <c r="G47" s="317">
        <v>1858.8</v>
      </c>
    </row>
    <row r="48" spans="1:7" s="480" customFormat="1" ht="15" customHeight="1">
      <c r="A48" s="591">
        <v>444</v>
      </c>
      <c r="B48" s="587"/>
      <c r="C48" s="585" t="s">
        <v>198</v>
      </c>
      <c r="D48" s="317">
        <v>5288.7</v>
      </c>
      <c r="E48" s="317">
        <v>5000</v>
      </c>
      <c r="F48" s="317">
        <v>314.5</v>
      </c>
      <c r="G48" s="317">
        <v>2000</v>
      </c>
    </row>
    <row r="49" spans="1:7" s="480" customFormat="1" ht="15" customHeight="1">
      <c r="A49" s="591">
        <v>445</v>
      </c>
      <c r="B49" s="587"/>
      <c r="C49" s="585" t="s">
        <v>197</v>
      </c>
      <c r="D49" s="317">
        <v>0.3</v>
      </c>
      <c r="E49" s="317">
        <v>300</v>
      </c>
      <c r="F49" s="317">
        <v>0.1</v>
      </c>
      <c r="G49" s="317">
        <v>0.1</v>
      </c>
    </row>
    <row r="50" spans="1:7" s="480" customFormat="1" ht="15" customHeight="1">
      <c r="A50" s="591">
        <v>446</v>
      </c>
      <c r="B50" s="587"/>
      <c r="C50" s="585" t="s">
        <v>196</v>
      </c>
      <c r="D50" s="317">
        <v>6508.6</v>
      </c>
      <c r="E50" s="317">
        <v>6509</v>
      </c>
      <c r="F50" s="317">
        <v>2404.3000000000002</v>
      </c>
      <c r="G50" s="317">
        <v>6418</v>
      </c>
    </row>
    <row r="51" spans="1:7" s="480" customFormat="1" ht="15" customHeight="1">
      <c r="A51" s="591">
        <v>447</v>
      </c>
      <c r="B51" s="587"/>
      <c r="C51" s="585" t="s">
        <v>195</v>
      </c>
      <c r="D51" s="317">
        <v>2514.6999999999998</v>
      </c>
      <c r="E51" s="317">
        <v>2537.6999999999998</v>
      </c>
      <c r="F51" s="317">
        <v>4928.8</v>
      </c>
      <c r="G51" s="317">
        <v>4847</v>
      </c>
    </row>
    <row r="52" spans="1:7" s="480" customFormat="1" ht="15" customHeight="1">
      <c r="A52" s="591">
        <v>448</v>
      </c>
      <c r="B52" s="587"/>
      <c r="C52" s="585" t="s">
        <v>194</v>
      </c>
      <c r="D52" s="317">
        <v>60.9</v>
      </c>
      <c r="E52" s="317">
        <v>274.5</v>
      </c>
      <c r="F52" s="317">
        <v>174.6</v>
      </c>
      <c r="G52" s="317">
        <v>274.5</v>
      </c>
    </row>
    <row r="53" spans="1:7" s="480" customFormat="1" ht="15" customHeight="1">
      <c r="A53" s="591">
        <v>449</v>
      </c>
      <c r="B53" s="587"/>
      <c r="C53" s="585" t="s">
        <v>193</v>
      </c>
      <c r="D53" s="317">
        <v>470</v>
      </c>
      <c r="E53" s="317">
        <v>0</v>
      </c>
      <c r="F53" s="317">
        <v>90</v>
      </c>
      <c r="G53" s="317">
        <v>0</v>
      </c>
    </row>
    <row r="54" spans="1:7" s="579" customFormat="1" ht="13.5" customHeight="1">
      <c r="A54" s="607" t="s">
        <v>192</v>
      </c>
      <c r="B54" s="580"/>
      <c r="C54" s="580" t="s">
        <v>191</v>
      </c>
      <c r="D54" s="300">
        <v>470</v>
      </c>
      <c r="E54" s="300">
        <v>0</v>
      </c>
      <c r="F54" s="300">
        <v>90</v>
      </c>
      <c r="G54" s="300">
        <v>0</v>
      </c>
    </row>
    <row r="55" spans="1:7" ht="15" customHeight="1">
      <c r="A55" s="606"/>
      <c r="B55" s="606"/>
      <c r="C55" s="576" t="s">
        <v>55</v>
      </c>
      <c r="D55" s="380">
        <f>SUM(D44:D53)-SUM(D38:D43)</f>
        <v>15472.800000000003</v>
      </c>
      <c r="E55" s="380">
        <f>SUM(E44:E53)-SUM(E38:E43)</f>
        <v>15283</v>
      </c>
      <c r="F55" s="380">
        <f>SUM(F44:F53)-SUM(F38:F43)</f>
        <v>15431.06</v>
      </c>
      <c r="G55" s="380">
        <f>SUM(G44:G53)-SUM(G38:G43)</f>
        <v>13940.800000000001</v>
      </c>
    </row>
    <row r="56" spans="1:7" ht="14.25" customHeight="1">
      <c r="A56" s="606"/>
      <c r="B56" s="606"/>
      <c r="C56" s="576" t="s">
        <v>190</v>
      </c>
      <c r="D56" s="380">
        <f>D55+D37</f>
        <v>-24290.800000000032</v>
      </c>
      <c r="E56" s="380">
        <f>E55+E37</f>
        <v>-20311.799999999988</v>
      </c>
      <c r="F56" s="380">
        <f>F55+F37</f>
        <v>-17988.539999999921</v>
      </c>
      <c r="G56" s="380">
        <f>G55+G37</f>
        <v>-2158.6000000000222</v>
      </c>
    </row>
    <row r="57" spans="1:7" s="480" customFormat="1" ht="15.75" customHeight="1">
      <c r="A57" s="605">
        <v>380</v>
      </c>
      <c r="B57" s="604"/>
      <c r="C57" s="603" t="s">
        <v>189</v>
      </c>
      <c r="D57" s="411"/>
      <c r="E57" s="411">
        <v>1200</v>
      </c>
      <c r="F57" s="411">
        <v>1322.4</v>
      </c>
      <c r="G57" s="411">
        <v>0</v>
      </c>
    </row>
    <row r="58" spans="1:7" s="480" customFormat="1" ht="15.75" customHeight="1">
      <c r="A58" s="605">
        <v>381</v>
      </c>
      <c r="B58" s="604"/>
      <c r="C58" s="603" t="s">
        <v>188</v>
      </c>
      <c r="D58" s="411"/>
      <c r="E58" s="411">
        <v>0</v>
      </c>
      <c r="F58" s="411">
        <v>0</v>
      </c>
      <c r="G58" s="411">
        <v>0</v>
      </c>
    </row>
    <row r="59" spans="1:7" s="579" customFormat="1" ht="25.5">
      <c r="A59" s="597">
        <v>383</v>
      </c>
      <c r="B59" s="596"/>
      <c r="C59" s="589" t="s">
        <v>187</v>
      </c>
      <c r="D59" s="343"/>
      <c r="E59" s="343">
        <v>0</v>
      </c>
      <c r="F59" s="343">
        <v>0</v>
      </c>
      <c r="G59" s="343">
        <v>0</v>
      </c>
    </row>
    <row r="60" spans="1:7" s="579" customFormat="1">
      <c r="A60" s="597">
        <v>3840</v>
      </c>
      <c r="B60" s="596"/>
      <c r="C60" s="589" t="s">
        <v>186</v>
      </c>
      <c r="D60" s="401"/>
      <c r="E60" s="401">
        <v>0</v>
      </c>
      <c r="F60" s="401">
        <v>0</v>
      </c>
      <c r="G60" s="401">
        <v>0</v>
      </c>
    </row>
    <row r="61" spans="1:7" s="579" customFormat="1">
      <c r="A61" s="597">
        <v>3841</v>
      </c>
      <c r="B61" s="596"/>
      <c r="C61" s="589" t="s">
        <v>185</v>
      </c>
      <c r="D61" s="401"/>
      <c r="E61" s="401"/>
      <c r="F61" s="401">
        <v>0</v>
      </c>
      <c r="G61" s="401">
        <v>0</v>
      </c>
    </row>
    <row r="62" spans="1:7" s="579" customFormat="1">
      <c r="A62" s="600">
        <v>386</v>
      </c>
      <c r="B62" s="599"/>
      <c r="C62" s="598" t="s">
        <v>184</v>
      </c>
      <c r="D62" s="401"/>
      <c r="E62" s="401"/>
      <c r="F62" s="401">
        <v>0</v>
      </c>
      <c r="G62" s="401">
        <v>0</v>
      </c>
    </row>
    <row r="63" spans="1:7" s="579" customFormat="1" ht="25.5">
      <c r="A63" s="597">
        <v>387</v>
      </c>
      <c r="B63" s="596"/>
      <c r="C63" s="589" t="s">
        <v>183</v>
      </c>
      <c r="D63" s="401"/>
      <c r="E63" s="401"/>
      <c r="F63" s="401">
        <v>0</v>
      </c>
      <c r="G63" s="401">
        <v>0</v>
      </c>
    </row>
    <row r="64" spans="1:7" s="579" customFormat="1">
      <c r="A64" s="593">
        <v>389</v>
      </c>
      <c r="B64" s="592"/>
      <c r="C64" s="585" t="s">
        <v>182</v>
      </c>
      <c r="D64" s="317"/>
      <c r="E64" s="317"/>
      <c r="F64" s="317">
        <v>110.4</v>
      </c>
      <c r="G64" s="317">
        <v>0</v>
      </c>
    </row>
    <row r="65" spans="1:7" s="480" customFormat="1">
      <c r="A65" s="593" t="s">
        <v>181</v>
      </c>
      <c r="B65" s="587"/>
      <c r="C65" s="585" t="s">
        <v>180</v>
      </c>
      <c r="D65" s="317"/>
      <c r="E65" s="317"/>
      <c r="F65" s="317">
        <v>0</v>
      </c>
      <c r="G65" s="317">
        <v>0</v>
      </c>
    </row>
    <row r="66" spans="1:7" s="588" customFormat="1">
      <c r="A66" s="666" t="s">
        <v>179</v>
      </c>
      <c r="B66" s="590"/>
      <c r="C66" s="589" t="s">
        <v>178</v>
      </c>
      <c r="D66" s="343"/>
      <c r="E66" s="343"/>
      <c r="F66" s="343">
        <v>0</v>
      </c>
      <c r="G66" s="343">
        <v>0</v>
      </c>
    </row>
    <row r="67" spans="1:7" s="480" customFormat="1">
      <c r="A67" s="584">
        <v>481</v>
      </c>
      <c r="B67" s="587"/>
      <c r="C67" s="585" t="s">
        <v>177</v>
      </c>
      <c r="D67" s="317"/>
      <c r="E67" s="317">
        <v>169.2</v>
      </c>
      <c r="F67" s="317">
        <v>169.2</v>
      </c>
      <c r="G67" s="317">
        <v>0</v>
      </c>
    </row>
    <row r="68" spans="1:7" s="480" customFormat="1">
      <c r="A68" s="584">
        <v>482</v>
      </c>
      <c r="B68" s="587"/>
      <c r="C68" s="585" t="s">
        <v>176</v>
      </c>
      <c r="D68" s="317"/>
      <c r="E68" s="317"/>
      <c r="F68" s="317">
        <v>0</v>
      </c>
      <c r="G68" s="317">
        <v>0</v>
      </c>
    </row>
    <row r="69" spans="1:7" s="480" customFormat="1">
      <c r="A69" s="584">
        <v>483</v>
      </c>
      <c r="B69" s="587"/>
      <c r="C69" s="585" t="s">
        <v>175</v>
      </c>
      <c r="D69" s="317"/>
      <c r="E69" s="317"/>
      <c r="F69" s="317">
        <v>0</v>
      </c>
      <c r="G69" s="317">
        <v>0</v>
      </c>
    </row>
    <row r="70" spans="1:7" s="480" customFormat="1">
      <c r="A70" s="584">
        <v>484</v>
      </c>
      <c r="B70" s="587"/>
      <c r="C70" s="585" t="s">
        <v>174</v>
      </c>
      <c r="D70" s="317"/>
      <c r="E70" s="317"/>
      <c r="F70" s="317">
        <v>0</v>
      </c>
      <c r="G70" s="317">
        <v>0</v>
      </c>
    </row>
    <row r="71" spans="1:7" s="480" customFormat="1">
      <c r="A71" s="584">
        <v>485</v>
      </c>
      <c r="B71" s="587"/>
      <c r="C71" s="585" t="s">
        <v>173</v>
      </c>
      <c r="D71" s="317"/>
      <c r="E71" s="317"/>
      <c r="F71" s="317">
        <v>0</v>
      </c>
      <c r="G71" s="317">
        <v>0</v>
      </c>
    </row>
    <row r="72" spans="1:7" s="480" customFormat="1">
      <c r="A72" s="584">
        <v>486</v>
      </c>
      <c r="B72" s="587"/>
      <c r="C72" s="585" t="s">
        <v>172</v>
      </c>
      <c r="D72" s="317"/>
      <c r="E72" s="317"/>
      <c r="F72" s="317">
        <v>0</v>
      </c>
      <c r="G72" s="317">
        <v>0</v>
      </c>
    </row>
    <row r="73" spans="1:7" s="579" customFormat="1">
      <c r="A73" s="584">
        <v>487</v>
      </c>
      <c r="B73" s="586"/>
      <c r="C73" s="585" t="s">
        <v>171</v>
      </c>
      <c r="D73" s="317"/>
      <c r="E73" s="317"/>
      <c r="F73" s="317">
        <v>0</v>
      </c>
      <c r="G73" s="317">
        <v>0</v>
      </c>
    </row>
    <row r="74" spans="1:7" s="579" customFormat="1">
      <c r="A74" s="584">
        <v>489</v>
      </c>
      <c r="B74" s="581"/>
      <c r="C74" s="583" t="s">
        <v>170</v>
      </c>
      <c r="D74" s="317"/>
      <c r="E74" s="317">
        <v>13910</v>
      </c>
      <c r="F74" s="317">
        <f>10752.9-1636.6</f>
        <v>9116.2999999999993</v>
      </c>
      <c r="G74" s="317">
        <v>14458.6</v>
      </c>
    </row>
    <row r="75" spans="1:7" s="579" customFormat="1">
      <c r="A75" s="582" t="s">
        <v>169</v>
      </c>
      <c r="B75" s="581"/>
      <c r="C75" s="580" t="s">
        <v>168</v>
      </c>
      <c r="D75" s="317"/>
      <c r="E75" s="317">
        <v>11004</v>
      </c>
      <c r="F75" s="317">
        <v>10752.9</v>
      </c>
      <c r="G75" s="317">
        <v>11034.5</v>
      </c>
    </row>
    <row r="76" spans="1:7">
      <c r="A76" s="578"/>
      <c r="B76" s="578"/>
      <c r="C76" s="576" t="s">
        <v>167</v>
      </c>
      <c r="D76" s="380">
        <f>SUM(D65:D74)-SUM(D57:D64)</f>
        <v>0</v>
      </c>
      <c r="E76" s="380">
        <f>SUM(E65:E74)-SUM(E57:E64)</f>
        <v>12879.2</v>
      </c>
      <c r="F76" s="380">
        <f>SUM(F65:F74)-SUM(F57:F64)</f>
        <v>7852.7</v>
      </c>
      <c r="G76" s="380">
        <f>SUM(G65:G74)-SUM(G57:G64)</f>
        <v>14458.6</v>
      </c>
    </row>
    <row r="77" spans="1:7">
      <c r="A77" s="577"/>
      <c r="B77" s="577"/>
      <c r="C77" s="576" t="s">
        <v>166</v>
      </c>
      <c r="D77" s="380">
        <f>D56+D76</f>
        <v>-24290.800000000032</v>
      </c>
      <c r="E77" s="380">
        <f>E56+E76</f>
        <v>-7432.5999999999876</v>
      </c>
      <c r="F77" s="380">
        <f>F56+F76</f>
        <v>-10135.83999999992</v>
      </c>
      <c r="G77" s="380">
        <f>G56+G76</f>
        <v>12299.999999999978</v>
      </c>
    </row>
    <row r="78" spans="1:7">
      <c r="A78" s="575">
        <v>3</v>
      </c>
      <c r="B78" s="575"/>
      <c r="C78" s="574" t="s">
        <v>165</v>
      </c>
      <c r="D78" s="377">
        <f>D20+D21+SUM(D38:D43)+SUM(D57:D64)</f>
        <v>456808.19999999995</v>
      </c>
      <c r="E78" s="377">
        <f>E20+E21+SUM(E38:E43)+SUM(E57:E64)</f>
        <v>459843.39999999997</v>
      </c>
      <c r="F78" s="377">
        <f>F20+F21+SUM(F38:F43)+SUM(F57:F64)</f>
        <v>454926.6</v>
      </c>
      <c r="G78" s="377">
        <f>G20+G21+SUM(G38:G43)+SUM(G57:G64)</f>
        <v>449727.8</v>
      </c>
    </row>
    <row r="79" spans="1:7">
      <c r="A79" s="575">
        <v>4</v>
      </c>
      <c r="B79" s="575"/>
      <c r="C79" s="574" t="s">
        <v>164</v>
      </c>
      <c r="D79" s="377">
        <f>D35+D36+SUM(D44:D53)+SUM(D65:D74)</f>
        <v>432517.39999999991</v>
      </c>
      <c r="E79" s="377">
        <f>E35+E36+SUM(E44:E53)+SUM(E65:E74)</f>
        <v>452410.8</v>
      </c>
      <c r="F79" s="377">
        <f>F35+F36+SUM(F44:F53)+SUM(F65:F74)</f>
        <v>444790.76000000007</v>
      </c>
      <c r="G79" s="377">
        <f>G35+G36+SUM(G44:G53)+SUM(G65:G74)</f>
        <v>462027.8</v>
      </c>
    </row>
    <row r="80" spans="1:7">
      <c r="A80" s="534"/>
      <c r="B80" s="534"/>
      <c r="C80" s="533"/>
      <c r="D80" s="260"/>
      <c r="E80" s="260"/>
      <c r="F80" s="260"/>
      <c r="G80" s="260"/>
    </row>
    <row r="81" spans="1:7">
      <c r="A81" s="951" t="s">
        <v>163</v>
      </c>
      <c r="B81" s="952"/>
      <c r="C81" s="952"/>
      <c r="D81" s="376"/>
      <c r="E81" s="375"/>
      <c r="F81" s="376"/>
      <c r="G81" s="375"/>
    </row>
    <row r="82" spans="1:7" s="480" customFormat="1">
      <c r="A82" s="567">
        <v>50</v>
      </c>
      <c r="B82" s="565"/>
      <c r="C82" s="565" t="s">
        <v>162</v>
      </c>
      <c r="D82" s="317">
        <v>34264.9</v>
      </c>
      <c r="E82" s="317">
        <v>18803</v>
      </c>
      <c r="F82" s="317">
        <v>17003.599999999999</v>
      </c>
      <c r="G82" s="317">
        <v>18990</v>
      </c>
    </row>
    <row r="83" spans="1:7" s="480" customFormat="1">
      <c r="A83" s="567">
        <v>51</v>
      </c>
      <c r="B83" s="565"/>
      <c r="C83" s="565" t="s">
        <v>161</v>
      </c>
      <c r="D83" s="317">
        <v>0</v>
      </c>
      <c r="E83" s="317">
        <v>0</v>
      </c>
      <c r="F83" s="317">
        <v>0</v>
      </c>
      <c r="G83" s="317">
        <v>350</v>
      </c>
    </row>
    <row r="84" spans="1:7" s="480" customFormat="1">
      <c r="A84" s="567">
        <v>52</v>
      </c>
      <c r="B84" s="565"/>
      <c r="C84" s="565" t="s">
        <v>160</v>
      </c>
      <c r="D84" s="317">
        <v>1007.4</v>
      </c>
      <c r="E84" s="317">
        <v>3013</v>
      </c>
      <c r="F84" s="317">
        <v>1144.3</v>
      </c>
      <c r="G84" s="317">
        <v>3616</v>
      </c>
    </row>
    <row r="85" spans="1:7" s="480" customFormat="1">
      <c r="A85" s="571">
        <v>54</v>
      </c>
      <c r="B85" s="570"/>
      <c r="C85" s="570" t="s">
        <v>117</v>
      </c>
      <c r="D85" s="322">
        <v>5109</v>
      </c>
      <c r="E85" s="322">
        <v>1120</v>
      </c>
      <c r="F85" s="322">
        <v>163</v>
      </c>
      <c r="G85" s="322">
        <v>1120</v>
      </c>
    </row>
    <row r="86" spans="1:7" s="480" customFormat="1">
      <c r="A86" s="571">
        <v>55</v>
      </c>
      <c r="B86" s="570"/>
      <c r="C86" s="570" t="s">
        <v>159</v>
      </c>
      <c r="D86" s="322">
        <v>500</v>
      </c>
      <c r="E86" s="322">
        <v>0</v>
      </c>
      <c r="F86" s="322">
        <v>90</v>
      </c>
      <c r="G86" s="322">
        <v>0</v>
      </c>
    </row>
    <row r="87" spans="1:7" s="480" customFormat="1">
      <c r="A87" s="571">
        <v>56</v>
      </c>
      <c r="B87" s="570"/>
      <c r="C87" s="570" t="s">
        <v>158</v>
      </c>
      <c r="D87" s="322">
        <v>5372.1</v>
      </c>
      <c r="E87" s="322">
        <v>10746</v>
      </c>
      <c r="F87" s="322">
        <v>10383.700000000001</v>
      </c>
      <c r="G87" s="322">
        <v>11667</v>
      </c>
    </row>
    <row r="88" spans="1:7" s="480" customFormat="1">
      <c r="A88" s="567">
        <v>57</v>
      </c>
      <c r="B88" s="565"/>
      <c r="C88" s="565" t="s">
        <v>143</v>
      </c>
      <c r="D88" s="317">
        <v>2534.8000000000002</v>
      </c>
      <c r="E88" s="317">
        <v>2644</v>
      </c>
      <c r="F88" s="317">
        <v>3335.8</v>
      </c>
      <c r="G88" s="317">
        <v>3098.4</v>
      </c>
    </row>
    <row r="89" spans="1:7" s="480" customFormat="1">
      <c r="A89" s="567">
        <v>580</v>
      </c>
      <c r="B89" s="565"/>
      <c r="C89" s="565" t="s">
        <v>157</v>
      </c>
      <c r="D89" s="317">
        <v>0</v>
      </c>
      <c r="E89" s="317">
        <v>0</v>
      </c>
      <c r="F89" s="317">
        <v>0</v>
      </c>
      <c r="G89" s="317">
        <v>0</v>
      </c>
    </row>
    <row r="90" spans="1:7" s="480" customFormat="1">
      <c r="A90" s="567">
        <v>582</v>
      </c>
      <c r="B90" s="565"/>
      <c r="C90" s="565" t="s">
        <v>156</v>
      </c>
      <c r="D90" s="317">
        <v>0</v>
      </c>
      <c r="E90" s="317">
        <v>0</v>
      </c>
      <c r="F90" s="317">
        <v>0</v>
      </c>
      <c r="G90" s="317">
        <v>0</v>
      </c>
    </row>
    <row r="91" spans="1:7" s="480" customFormat="1">
      <c r="A91" s="567">
        <v>584</v>
      </c>
      <c r="B91" s="565"/>
      <c r="C91" s="565" t="s">
        <v>155</v>
      </c>
      <c r="D91" s="317">
        <v>0</v>
      </c>
      <c r="E91" s="317">
        <v>0</v>
      </c>
      <c r="F91" s="317">
        <v>0</v>
      </c>
      <c r="G91" s="317">
        <v>0</v>
      </c>
    </row>
    <row r="92" spans="1:7" s="480" customFormat="1">
      <c r="A92" s="567">
        <v>585</v>
      </c>
      <c r="B92" s="565"/>
      <c r="C92" s="565" t="s">
        <v>154</v>
      </c>
      <c r="D92" s="317">
        <v>0</v>
      </c>
      <c r="E92" s="317">
        <v>0</v>
      </c>
      <c r="F92" s="317">
        <v>0</v>
      </c>
      <c r="G92" s="317">
        <v>0</v>
      </c>
    </row>
    <row r="93" spans="1:7" s="480" customFormat="1">
      <c r="A93" s="567">
        <v>586</v>
      </c>
      <c r="B93" s="565"/>
      <c r="C93" s="565" t="s">
        <v>153</v>
      </c>
      <c r="D93" s="317">
        <v>0</v>
      </c>
      <c r="E93" s="317">
        <v>0</v>
      </c>
      <c r="F93" s="317">
        <v>0</v>
      </c>
      <c r="G93" s="317">
        <v>0</v>
      </c>
    </row>
    <row r="94" spans="1:7" s="480" customFormat="1">
      <c r="A94" s="568">
        <v>589</v>
      </c>
      <c r="B94" s="561"/>
      <c r="C94" s="561" t="s">
        <v>152</v>
      </c>
      <c r="D94" s="333">
        <v>0</v>
      </c>
      <c r="E94" s="333">
        <v>0</v>
      </c>
      <c r="F94" s="333">
        <v>0</v>
      </c>
      <c r="G94" s="333">
        <v>0</v>
      </c>
    </row>
    <row r="95" spans="1:7">
      <c r="A95" s="557">
        <v>5</v>
      </c>
      <c r="B95" s="555"/>
      <c r="C95" s="555" t="s">
        <v>151</v>
      </c>
      <c r="D95" s="348">
        <f>SUM(D82:D94)</f>
        <v>48788.200000000004</v>
      </c>
      <c r="E95" s="348">
        <f>SUM(E82:E94)</f>
        <v>36326</v>
      </c>
      <c r="F95" s="348">
        <f>SUM(F82:F94)</f>
        <v>32120.399999999998</v>
      </c>
      <c r="G95" s="348">
        <f>SUM(G82:G94)</f>
        <v>38841.4</v>
      </c>
    </row>
    <row r="96" spans="1:7" s="480" customFormat="1">
      <c r="A96" s="567">
        <v>60</v>
      </c>
      <c r="B96" s="565"/>
      <c r="C96" s="565" t="s">
        <v>150</v>
      </c>
      <c r="D96" s="317">
        <v>1961.2</v>
      </c>
      <c r="E96" s="317">
        <v>0</v>
      </c>
      <c r="F96" s="317">
        <v>0</v>
      </c>
      <c r="G96" s="317">
        <v>0</v>
      </c>
    </row>
    <row r="97" spans="1:7" s="480" customFormat="1">
      <c r="A97" s="567">
        <v>61</v>
      </c>
      <c r="B97" s="565"/>
      <c r="C97" s="565" t="s">
        <v>149</v>
      </c>
      <c r="D97" s="317">
        <v>751.6</v>
      </c>
      <c r="E97" s="317">
        <v>0</v>
      </c>
      <c r="F97" s="317">
        <v>19.2</v>
      </c>
      <c r="G97" s="317">
        <v>0</v>
      </c>
    </row>
    <row r="98" spans="1:7" s="480" customFormat="1">
      <c r="A98" s="567">
        <v>62</v>
      </c>
      <c r="B98" s="565"/>
      <c r="C98" s="565" t="s">
        <v>148</v>
      </c>
      <c r="D98" s="317">
        <v>0</v>
      </c>
      <c r="E98" s="317">
        <v>0</v>
      </c>
      <c r="F98" s="317">
        <v>0</v>
      </c>
      <c r="G98" s="317">
        <v>0</v>
      </c>
    </row>
    <row r="99" spans="1:7" s="480" customFormat="1">
      <c r="A99" s="567">
        <v>63</v>
      </c>
      <c r="B99" s="565"/>
      <c r="C99" s="565" t="s">
        <v>147</v>
      </c>
      <c r="D99" s="317">
        <v>4495.6000000000004</v>
      </c>
      <c r="E99" s="317">
        <v>7938</v>
      </c>
      <c r="F99" s="317">
        <v>7656.8</v>
      </c>
      <c r="G99" s="317">
        <v>9190.5</v>
      </c>
    </row>
    <row r="100" spans="1:7" s="480" customFormat="1">
      <c r="A100" s="571">
        <v>64</v>
      </c>
      <c r="B100" s="570"/>
      <c r="C100" s="570" t="s">
        <v>146</v>
      </c>
      <c r="D100" s="322">
        <v>4691.2</v>
      </c>
      <c r="E100" s="322">
        <v>1309</v>
      </c>
      <c r="F100" s="322">
        <v>839.9</v>
      </c>
      <c r="G100" s="322">
        <v>1281.0999999999999</v>
      </c>
    </row>
    <row r="101" spans="1:7" s="480" customFormat="1">
      <c r="A101" s="571">
        <v>65</v>
      </c>
      <c r="B101" s="570"/>
      <c r="C101" s="570" t="s">
        <v>145</v>
      </c>
      <c r="D101" s="322">
        <v>0</v>
      </c>
      <c r="E101" s="322"/>
      <c r="F101" s="322">
        <v>0</v>
      </c>
      <c r="G101" s="322">
        <v>0</v>
      </c>
    </row>
    <row r="102" spans="1:7" s="480" customFormat="1">
      <c r="A102" s="571">
        <v>66</v>
      </c>
      <c r="B102" s="570"/>
      <c r="C102" s="570" t="s">
        <v>144</v>
      </c>
      <c r="D102" s="322">
        <v>0</v>
      </c>
      <c r="E102" s="322"/>
      <c r="F102" s="322">
        <v>0</v>
      </c>
      <c r="G102" s="322">
        <v>0</v>
      </c>
    </row>
    <row r="103" spans="1:7" s="480" customFormat="1">
      <c r="A103" s="567">
        <v>67</v>
      </c>
      <c r="B103" s="565"/>
      <c r="C103" s="565" t="s">
        <v>143</v>
      </c>
      <c r="D103" s="317">
        <v>2534.8000000000002</v>
      </c>
      <c r="E103" s="317">
        <v>2644</v>
      </c>
      <c r="F103" s="317">
        <v>3335.8</v>
      </c>
      <c r="G103" s="317">
        <v>3098.4</v>
      </c>
    </row>
    <row r="104" spans="1:7" s="480" customFormat="1" ht="25.5">
      <c r="A104" s="566" t="s">
        <v>142</v>
      </c>
      <c r="B104" s="565"/>
      <c r="C104" s="564" t="s">
        <v>141</v>
      </c>
      <c r="D104" s="362"/>
      <c r="E104" s="362"/>
      <c r="F104" s="362">
        <v>0</v>
      </c>
      <c r="G104" s="362"/>
    </row>
    <row r="105" spans="1:7" s="480" customFormat="1" ht="38.25">
      <c r="A105" s="562" t="s">
        <v>140</v>
      </c>
      <c r="B105" s="561"/>
      <c r="C105" s="560" t="s">
        <v>139</v>
      </c>
      <c r="D105" s="355"/>
      <c r="E105" s="355"/>
      <c r="F105" s="355">
        <v>0</v>
      </c>
      <c r="G105" s="355"/>
    </row>
    <row r="106" spans="1:7">
      <c r="A106" s="557">
        <v>6</v>
      </c>
      <c r="B106" s="555"/>
      <c r="C106" s="555" t="s">
        <v>138</v>
      </c>
      <c r="D106" s="348">
        <f>SUM(D96:D105)</f>
        <v>14434.400000000001</v>
      </c>
      <c r="E106" s="348">
        <f>SUM(E96:E105)</f>
        <v>11891</v>
      </c>
      <c r="F106" s="348">
        <f>SUM(F96:F105)</f>
        <v>11851.7</v>
      </c>
      <c r="G106" s="348">
        <f>SUM(G96:G105)</f>
        <v>13570</v>
      </c>
    </row>
    <row r="107" spans="1:7">
      <c r="A107" s="556" t="s">
        <v>137</v>
      </c>
      <c r="B107" s="556"/>
      <c r="C107" s="555" t="s">
        <v>3</v>
      </c>
      <c r="D107" s="348">
        <f>(D95-D88)-(D106-D103)</f>
        <v>34353.800000000003</v>
      </c>
      <c r="E107" s="348">
        <f>(E95-E88)-(E106-E103)</f>
        <v>24435</v>
      </c>
      <c r="F107" s="348">
        <f>(F95-F88)-(F106-F103)</f>
        <v>20268.699999999997</v>
      </c>
      <c r="G107" s="348">
        <f>(G95-G88)-(G106-G103)</f>
        <v>25271.4</v>
      </c>
    </row>
    <row r="108" spans="1:7">
      <c r="A108" s="554" t="s">
        <v>136</v>
      </c>
      <c r="B108" s="554"/>
      <c r="C108" s="553" t="s">
        <v>135</v>
      </c>
      <c r="D108" s="348">
        <f>D107-D85-D86+D100+D101</f>
        <v>33436</v>
      </c>
      <c r="E108" s="348">
        <f>E107-E85-E86+E100+E101</f>
        <v>24624</v>
      </c>
      <c r="F108" s="348">
        <f>F107-F85-F86+F100+F101</f>
        <v>20855.599999999999</v>
      </c>
      <c r="G108" s="348">
        <f>G107-G85-G86+G100+G101</f>
        <v>25432.5</v>
      </c>
    </row>
    <row r="109" spans="1:7">
      <c r="A109" s="534"/>
      <c r="B109" s="534"/>
      <c r="C109" s="533"/>
      <c r="D109" s="260"/>
      <c r="E109" s="260"/>
      <c r="F109" s="260"/>
      <c r="G109" s="260"/>
    </row>
    <row r="110" spans="1:7" s="512" customFormat="1">
      <c r="A110" s="550" t="s">
        <v>134</v>
      </c>
      <c r="B110" s="551"/>
      <c r="C110" s="550"/>
      <c r="D110" s="260"/>
      <c r="E110" s="260"/>
      <c r="F110" s="260"/>
      <c r="G110" s="260"/>
    </row>
    <row r="111" spans="1:7" s="516" customFormat="1">
      <c r="A111" s="532">
        <v>10</v>
      </c>
      <c r="B111" s="531"/>
      <c r="C111" s="531" t="s">
        <v>133</v>
      </c>
      <c r="D111" s="327">
        <f>D112+D117</f>
        <v>166653.69999999998</v>
      </c>
      <c r="E111" s="326">
        <f>E112+E117</f>
        <v>0</v>
      </c>
      <c r="F111" s="327">
        <f>F112+F117</f>
        <v>186732.6</v>
      </c>
      <c r="G111" s="326">
        <f>G112+G117</f>
        <v>0</v>
      </c>
    </row>
    <row r="112" spans="1:7" s="516" customFormat="1">
      <c r="A112" s="539" t="s">
        <v>132</v>
      </c>
      <c r="B112" s="519"/>
      <c r="C112" s="519" t="s">
        <v>131</v>
      </c>
      <c r="D112" s="327">
        <f>D113+D114+D115+D116</f>
        <v>131087.79999999999</v>
      </c>
      <c r="E112" s="326">
        <f>E113+E114+E115+E116</f>
        <v>0</v>
      </c>
      <c r="F112" s="327">
        <f>F113+F114+F115+F116</f>
        <v>147773</v>
      </c>
      <c r="G112" s="326">
        <f>G113+G114+G115+G116</f>
        <v>0</v>
      </c>
    </row>
    <row r="113" spans="1:7" s="516" customFormat="1">
      <c r="A113" s="537" t="s">
        <v>130</v>
      </c>
      <c r="B113" s="526"/>
      <c r="C113" s="526" t="s">
        <v>129</v>
      </c>
      <c r="D113" s="317">
        <v>114123.9</v>
      </c>
      <c r="E113" s="316"/>
      <c r="F113" s="317">
        <v>127604.9</v>
      </c>
      <c r="G113" s="316"/>
    </row>
    <row r="114" spans="1:7" s="546" customFormat="1" ht="15" customHeight="1">
      <c r="A114" s="524">
        <v>102</v>
      </c>
      <c r="B114" s="665"/>
      <c r="C114" s="665" t="s">
        <v>128</v>
      </c>
      <c r="D114" s="343">
        <v>0</v>
      </c>
      <c r="E114" s="342"/>
      <c r="F114" s="343">
        <v>0</v>
      </c>
      <c r="G114" s="342"/>
    </row>
    <row r="115" spans="1:7" s="516" customFormat="1">
      <c r="A115" s="537">
        <v>104</v>
      </c>
      <c r="B115" s="526"/>
      <c r="C115" s="526" t="s">
        <v>127</v>
      </c>
      <c r="D115" s="317">
        <v>16963.900000000001</v>
      </c>
      <c r="E115" s="316"/>
      <c r="F115" s="317">
        <v>20168.099999999999</v>
      </c>
      <c r="G115" s="316"/>
    </row>
    <row r="116" spans="1:7" s="516" customFormat="1">
      <c r="A116" s="537">
        <v>106</v>
      </c>
      <c r="B116" s="526"/>
      <c r="C116" s="526" t="s">
        <v>126</v>
      </c>
      <c r="D116" s="317">
        <v>0</v>
      </c>
      <c r="E116" s="316"/>
      <c r="F116" s="317">
        <v>0</v>
      </c>
      <c r="G116" s="316"/>
    </row>
    <row r="117" spans="1:7" s="516" customFormat="1">
      <c r="A117" s="539" t="s">
        <v>125</v>
      </c>
      <c r="B117" s="519"/>
      <c r="C117" s="519" t="s">
        <v>124</v>
      </c>
      <c r="D117" s="327">
        <f>D118+D119+D120</f>
        <v>35565.9</v>
      </c>
      <c r="E117" s="326">
        <f>E118+E119+E120</f>
        <v>0</v>
      </c>
      <c r="F117" s="327">
        <f>F118+F119+F120</f>
        <v>38959.599999999999</v>
      </c>
      <c r="G117" s="326">
        <f>G118+G119+G120</f>
        <v>0</v>
      </c>
    </row>
    <row r="118" spans="1:7" s="516" customFormat="1">
      <c r="A118" s="537">
        <v>107</v>
      </c>
      <c r="B118" s="526"/>
      <c r="C118" s="526" t="s">
        <v>123</v>
      </c>
      <c r="D118" s="317">
        <v>624.1</v>
      </c>
      <c r="E118" s="316"/>
      <c r="F118" s="317">
        <v>58</v>
      </c>
      <c r="G118" s="316"/>
    </row>
    <row r="119" spans="1:7" s="516" customFormat="1">
      <c r="A119" s="537">
        <v>108</v>
      </c>
      <c r="B119" s="526"/>
      <c r="C119" s="526" t="s">
        <v>122</v>
      </c>
      <c r="D119" s="317">
        <v>34941.800000000003</v>
      </c>
      <c r="E119" s="316"/>
      <c r="F119" s="317">
        <v>38901.599999999999</v>
      </c>
      <c r="G119" s="316"/>
    </row>
    <row r="120" spans="1:7" s="538" customFormat="1" ht="25.5">
      <c r="A120" s="524">
        <v>109</v>
      </c>
      <c r="B120" s="523"/>
      <c r="C120" s="523" t="s">
        <v>121</v>
      </c>
      <c r="D120" s="311">
        <v>0</v>
      </c>
      <c r="E120" s="310"/>
      <c r="F120" s="311">
        <v>0</v>
      </c>
      <c r="G120" s="310"/>
    </row>
    <row r="121" spans="1:7" s="516" customFormat="1">
      <c r="A121" s="539">
        <v>14</v>
      </c>
      <c r="B121" s="519"/>
      <c r="C121" s="519" t="s">
        <v>120</v>
      </c>
      <c r="D121" s="327">
        <f>SUM(D122:D130)</f>
        <v>141420.79999999999</v>
      </c>
      <c r="E121" s="327">
        <f>SUM(E122:E130)</f>
        <v>0</v>
      </c>
      <c r="F121" s="327">
        <f>SUM(F122:F130)</f>
        <v>252250.29999999996</v>
      </c>
      <c r="G121" s="327">
        <f>SUM(G122:G130)</f>
        <v>0</v>
      </c>
    </row>
    <row r="122" spans="1:7" s="516" customFormat="1">
      <c r="A122" s="537" t="s">
        <v>119</v>
      </c>
      <c r="B122" s="526"/>
      <c r="C122" s="526" t="s">
        <v>118</v>
      </c>
      <c r="D122" s="317">
        <v>53083.7</v>
      </c>
      <c r="E122" s="316"/>
      <c r="F122" s="317">
        <f>142423.3+2301.3</f>
        <v>144724.59999999998</v>
      </c>
      <c r="G122" s="316"/>
    </row>
    <row r="123" spans="1:7" s="516" customFormat="1">
      <c r="A123" s="537">
        <v>144</v>
      </c>
      <c r="B123" s="526"/>
      <c r="C123" s="526" t="s">
        <v>117</v>
      </c>
      <c r="D123" s="317">
        <v>39487.5</v>
      </c>
      <c r="E123" s="316"/>
      <c r="F123" s="317">
        <v>39008.800000000003</v>
      </c>
      <c r="G123" s="316"/>
    </row>
    <row r="124" spans="1:7" s="516" customFormat="1">
      <c r="A124" s="537">
        <v>145</v>
      </c>
      <c r="B124" s="526"/>
      <c r="C124" s="526" t="s">
        <v>116</v>
      </c>
      <c r="D124" s="317">
        <v>48849.599999999999</v>
      </c>
      <c r="E124" s="304"/>
      <c r="F124" s="317">
        <v>50315.1</v>
      </c>
      <c r="G124" s="304"/>
    </row>
    <row r="125" spans="1:7" s="516" customFormat="1">
      <c r="A125" s="537">
        <v>146</v>
      </c>
      <c r="B125" s="526"/>
      <c r="C125" s="526" t="s">
        <v>115</v>
      </c>
      <c r="D125" s="317">
        <v>0</v>
      </c>
      <c r="E125" s="304"/>
      <c r="F125" s="317">
        <v>18201.8</v>
      </c>
      <c r="G125" s="304"/>
    </row>
    <row r="126" spans="1:7" s="538" customFormat="1" ht="29.45" customHeight="1">
      <c r="A126" s="524" t="s">
        <v>114</v>
      </c>
      <c r="B126" s="523"/>
      <c r="C126" s="523" t="s">
        <v>113</v>
      </c>
      <c r="D126" s="311">
        <v>0</v>
      </c>
      <c r="E126" s="339"/>
      <c r="F126" s="311">
        <v>0</v>
      </c>
      <c r="G126" s="339"/>
    </row>
    <row r="127" spans="1:7" s="516" customFormat="1">
      <c r="A127" s="537">
        <v>1484</v>
      </c>
      <c r="B127" s="526"/>
      <c r="C127" s="526" t="s">
        <v>112</v>
      </c>
      <c r="D127" s="317">
        <v>0</v>
      </c>
      <c r="E127" s="304"/>
      <c r="F127" s="317">
        <v>0</v>
      </c>
      <c r="G127" s="304"/>
    </row>
    <row r="128" spans="1:7" s="516" customFormat="1">
      <c r="A128" s="537">
        <v>1485</v>
      </c>
      <c r="B128" s="526"/>
      <c r="C128" s="526" t="s">
        <v>111</v>
      </c>
      <c r="D128" s="317">
        <v>0</v>
      </c>
      <c r="E128" s="304"/>
      <c r="F128" s="317">
        <v>0</v>
      </c>
      <c r="G128" s="304"/>
    </row>
    <row r="129" spans="1:7" s="516" customFormat="1">
      <c r="A129" s="537">
        <v>1486</v>
      </c>
      <c r="B129" s="526"/>
      <c r="C129" s="526" t="s">
        <v>110</v>
      </c>
      <c r="D129" s="317">
        <v>0</v>
      </c>
      <c r="E129" s="304"/>
      <c r="F129" s="317">
        <v>0</v>
      </c>
      <c r="G129" s="304"/>
    </row>
    <row r="130" spans="1:7" s="516" customFormat="1">
      <c r="A130" s="536">
        <v>1489</v>
      </c>
      <c r="B130" s="535"/>
      <c r="C130" s="535" t="s">
        <v>109</v>
      </c>
      <c r="D130" s="333">
        <v>0</v>
      </c>
      <c r="E130" s="332"/>
      <c r="F130" s="333">
        <v>0</v>
      </c>
      <c r="G130" s="332"/>
    </row>
    <row r="131" spans="1:7" s="512" customFormat="1">
      <c r="A131" s="515">
        <v>1</v>
      </c>
      <c r="B131" s="514"/>
      <c r="C131" s="515" t="s">
        <v>108</v>
      </c>
      <c r="D131" s="295">
        <f>D111+D121</f>
        <v>308074.5</v>
      </c>
      <c r="E131" s="295">
        <f>E111+E121</f>
        <v>0</v>
      </c>
      <c r="F131" s="295">
        <f>F111+F121</f>
        <v>438982.89999999997</v>
      </c>
      <c r="G131" s="295">
        <f>G111+G121</f>
        <v>0</v>
      </c>
    </row>
    <row r="132" spans="1:7" s="512" customFormat="1">
      <c r="A132" s="534"/>
      <c r="B132" s="534"/>
      <c r="C132" s="533"/>
      <c r="D132" s="260"/>
      <c r="E132" s="260"/>
      <c r="F132" s="260"/>
      <c r="G132" s="260"/>
    </row>
    <row r="133" spans="1:7" s="516" customFormat="1">
      <c r="A133" s="532">
        <v>20</v>
      </c>
      <c r="B133" s="531"/>
      <c r="C133" s="531" t="s">
        <v>107</v>
      </c>
      <c r="D133" s="329">
        <f>D134+D140</f>
        <v>222192.40000000002</v>
      </c>
      <c r="E133" s="530">
        <f>E134+E140</f>
        <v>0</v>
      </c>
      <c r="F133" s="329">
        <f>F134+F140</f>
        <v>258619.8</v>
      </c>
      <c r="G133" s="530">
        <f>G134+G140</f>
        <v>0</v>
      </c>
    </row>
    <row r="134" spans="1:7" s="516" customFormat="1">
      <c r="A134" s="520" t="s">
        <v>106</v>
      </c>
      <c r="B134" s="519"/>
      <c r="C134" s="519" t="s">
        <v>105</v>
      </c>
      <c r="D134" s="327">
        <f>D135+D136+D138+D139</f>
        <v>139322.20000000001</v>
      </c>
      <c r="E134" s="326">
        <f>E135+E136+E138+E139</f>
        <v>0</v>
      </c>
      <c r="F134" s="327">
        <f>F135+F136+F138+F139</f>
        <v>127295.29999999999</v>
      </c>
      <c r="G134" s="326">
        <f>G135+G136+G138+G139</f>
        <v>0</v>
      </c>
    </row>
    <row r="135" spans="1:7" s="525" customFormat="1">
      <c r="A135" s="527">
        <v>200</v>
      </c>
      <c r="B135" s="526"/>
      <c r="C135" s="526" t="s">
        <v>104</v>
      </c>
      <c r="D135" s="317">
        <v>94201.2</v>
      </c>
      <c r="E135" s="316"/>
      <c r="F135" s="317">
        <v>97348.7</v>
      </c>
      <c r="G135" s="316"/>
    </row>
    <row r="136" spans="1:7" s="525" customFormat="1">
      <c r="A136" s="527">
        <v>201</v>
      </c>
      <c r="B136" s="526"/>
      <c r="C136" s="526" t="s">
        <v>103</v>
      </c>
      <c r="D136" s="317">
        <v>20016.5</v>
      </c>
      <c r="E136" s="316"/>
      <c r="F136" s="317">
        <v>23.5</v>
      </c>
      <c r="G136" s="316"/>
    </row>
    <row r="137" spans="1:7" s="525" customFormat="1">
      <c r="A137" s="529" t="s">
        <v>102</v>
      </c>
      <c r="B137" s="528"/>
      <c r="C137" s="528" t="s">
        <v>101</v>
      </c>
      <c r="D137" s="322">
        <v>0</v>
      </c>
      <c r="E137" s="328"/>
      <c r="F137" s="322">
        <v>0</v>
      </c>
      <c r="G137" s="328"/>
    </row>
    <row r="138" spans="1:7" s="525" customFormat="1">
      <c r="A138" s="527">
        <v>204</v>
      </c>
      <c r="B138" s="526"/>
      <c r="C138" s="526" t="s">
        <v>100</v>
      </c>
      <c r="D138" s="317">
        <v>11366.3</v>
      </c>
      <c r="E138" s="304"/>
      <c r="F138" s="317">
        <v>24654.7</v>
      </c>
      <c r="G138" s="304"/>
    </row>
    <row r="139" spans="1:7" s="525" customFormat="1">
      <c r="A139" s="527">
        <v>205</v>
      </c>
      <c r="B139" s="526"/>
      <c r="C139" s="526" t="s">
        <v>99</v>
      </c>
      <c r="D139" s="317">
        <v>13738.2</v>
      </c>
      <c r="E139" s="304"/>
      <c r="F139" s="317">
        <v>5268.4</v>
      </c>
      <c r="G139" s="304"/>
    </row>
    <row r="140" spans="1:7" s="525" customFormat="1">
      <c r="A140" s="520" t="s">
        <v>98</v>
      </c>
      <c r="B140" s="519"/>
      <c r="C140" s="519" t="s">
        <v>97</v>
      </c>
      <c r="D140" s="327">
        <f>D141+D143+D144</f>
        <v>82870.2</v>
      </c>
      <c r="E140" s="326">
        <f>E141+E143+E144</f>
        <v>0</v>
      </c>
      <c r="F140" s="327">
        <f>F141+F143+F144</f>
        <v>131324.5</v>
      </c>
      <c r="G140" s="326">
        <f>G141+G143+G144</f>
        <v>0</v>
      </c>
    </row>
    <row r="141" spans="1:7" s="525" customFormat="1">
      <c r="A141" s="527">
        <v>206</v>
      </c>
      <c r="B141" s="526"/>
      <c r="C141" s="526" t="s">
        <v>96</v>
      </c>
      <c r="D141" s="317">
        <v>71276.399999999994</v>
      </c>
      <c r="E141" s="304"/>
      <c r="F141" s="317">
        <v>121190.5</v>
      </c>
      <c r="G141" s="304"/>
    </row>
    <row r="142" spans="1:7" s="525" customFormat="1">
      <c r="A142" s="529" t="s">
        <v>95</v>
      </c>
      <c r="B142" s="528"/>
      <c r="C142" s="528" t="s">
        <v>94</v>
      </c>
      <c r="D142" s="322">
        <v>0</v>
      </c>
      <c r="E142" s="321"/>
      <c r="F142" s="322">
        <v>0</v>
      </c>
      <c r="G142" s="321"/>
    </row>
    <row r="143" spans="1:7" s="525" customFormat="1">
      <c r="A143" s="527">
        <v>208</v>
      </c>
      <c r="B143" s="526"/>
      <c r="C143" s="526" t="s">
        <v>93</v>
      </c>
      <c r="D143" s="317">
        <v>6885.5</v>
      </c>
      <c r="E143" s="316"/>
      <c r="F143" s="317">
        <v>4404.7</v>
      </c>
      <c r="G143" s="316"/>
    </row>
    <row r="144" spans="1:7" s="521" customFormat="1" ht="25.5">
      <c r="A144" s="524">
        <v>209</v>
      </c>
      <c r="B144" s="523"/>
      <c r="C144" s="523" t="s">
        <v>92</v>
      </c>
      <c r="D144" s="311">
        <v>4708.3</v>
      </c>
      <c r="E144" s="310"/>
      <c r="F144" s="311">
        <v>5729.3</v>
      </c>
      <c r="G144" s="310"/>
    </row>
    <row r="145" spans="1:7" s="516" customFormat="1">
      <c r="A145" s="520">
        <v>29</v>
      </c>
      <c r="B145" s="519"/>
      <c r="C145" s="519" t="s">
        <v>61</v>
      </c>
      <c r="D145" s="305">
        <v>85882.1</v>
      </c>
      <c r="E145" s="304"/>
      <c r="F145" s="305">
        <v>180363</v>
      </c>
      <c r="G145" s="304"/>
    </row>
    <row r="146" spans="1:7" s="516" customFormat="1">
      <c r="A146" s="518" t="s">
        <v>91</v>
      </c>
      <c r="B146" s="517"/>
      <c r="C146" s="517" t="s">
        <v>90</v>
      </c>
      <c r="D146" s="300">
        <v>23473.1</v>
      </c>
      <c r="E146" s="299"/>
      <c r="F146" s="300">
        <v>13337.2</v>
      </c>
      <c r="G146" s="299"/>
    </row>
    <row r="147" spans="1:7" s="512" customFormat="1">
      <c r="A147" s="515">
        <v>2</v>
      </c>
      <c r="B147" s="514"/>
      <c r="C147" s="515" t="s">
        <v>89</v>
      </c>
      <c r="D147" s="295">
        <f>D133+D145</f>
        <v>308074.5</v>
      </c>
      <c r="E147" s="295">
        <f>E133+E145</f>
        <v>0</v>
      </c>
      <c r="F147" s="295">
        <f>F133+F145</f>
        <v>438982.8</v>
      </c>
      <c r="G147" s="295">
        <f>G133+G145</f>
        <v>0</v>
      </c>
    </row>
    <row r="148" spans="1:7" ht="7.5" customHeight="1">
      <c r="D148" s="512"/>
      <c r="F148" s="512"/>
    </row>
    <row r="149" spans="1:7" ht="13.5" customHeight="1">
      <c r="A149" s="511" t="s">
        <v>88</v>
      </c>
      <c r="B149" s="509"/>
      <c r="C149" s="664" t="s">
        <v>87</v>
      </c>
      <c r="D149" s="509"/>
      <c r="E149" s="509"/>
      <c r="F149" s="509"/>
      <c r="G149" s="509"/>
    </row>
    <row r="150" spans="1:7">
      <c r="A150" s="658" t="s">
        <v>86</v>
      </c>
      <c r="B150" s="657"/>
      <c r="C150" s="657" t="s">
        <v>85</v>
      </c>
      <c r="D150" s="268">
        <f>D77+SUM(D8:D12)-D30-D31+D16-D33+D59+D63-D73+D64-D74-D54+D20-D35</f>
        <v>3601.699999999968</v>
      </c>
      <c r="E150" s="268">
        <f>E77+SUM(E8:E12)-E30-E31+E16-E33+E59+E63-E73+E64-E74-E54+E20-E35</f>
        <v>-6459.599999999984</v>
      </c>
      <c r="F150" s="268">
        <f>F77+SUM(F8:F12)-F30-F31+F16-F33+F59+F63-F73+F64-F74-F54+F20-F35</f>
        <v>-3590.6399999999194</v>
      </c>
      <c r="G150" s="268">
        <f>G77+SUM(G8:G12)-G30-G31+G16-G33+G59+G63-G73+G64-G74-G54+G20-G35</f>
        <v>14802.399999999972</v>
      </c>
    </row>
    <row r="151" spans="1:7">
      <c r="A151" s="654" t="s">
        <v>84</v>
      </c>
      <c r="B151" s="653"/>
      <c r="C151" s="653" t="s">
        <v>83</v>
      </c>
      <c r="D151" s="269">
        <f>IF(D177=0,0,D150/D177)</f>
        <v>1.0049551596970957E-2</v>
      </c>
      <c r="E151" s="269">
        <f>IF(E177=0,0,E150/E177)</f>
        <v>-1.7338150022935508E-2</v>
      </c>
      <c r="F151" s="269">
        <f>IF(F177=0,0,F150/F177)</f>
        <v>-9.5587681726645758E-3</v>
      </c>
      <c r="G151" s="269">
        <f>IF(G177=0,0,G150/G177)</f>
        <v>3.8248552023162387E-2</v>
      </c>
    </row>
    <row r="152" spans="1:7" s="613" customFormat="1" ht="25.5">
      <c r="A152" s="497" t="s">
        <v>81</v>
      </c>
      <c r="B152" s="663"/>
      <c r="C152" s="663" t="s">
        <v>82</v>
      </c>
      <c r="D152" s="289">
        <f>IF(D107=0,0,D150/D107)</f>
        <v>0.10484138581466876</v>
      </c>
      <c r="E152" s="289">
        <f>IF(E107=0,0,E150/E107)</f>
        <v>-0.26435850214855672</v>
      </c>
      <c r="F152" s="289">
        <f>IF(F107=0,0,F150/F107)</f>
        <v>-0.17715196337209194</v>
      </c>
      <c r="G152" s="289">
        <f>IF(G107=0,0,G150/G107)</f>
        <v>0.58573723655990451</v>
      </c>
    </row>
    <row r="153" spans="1:7" s="613" customFormat="1" ht="25.5">
      <c r="A153" s="503" t="s">
        <v>81</v>
      </c>
      <c r="B153" s="662"/>
      <c r="C153" s="662" t="s">
        <v>80</v>
      </c>
      <c r="D153" s="286">
        <f>IF(0=D108,0,D150/D108)</f>
        <v>0.10771922478765307</v>
      </c>
      <c r="E153" s="286">
        <f>IF(0=E108,0,E150/E108)</f>
        <v>-0.26232943469785508</v>
      </c>
      <c r="F153" s="286">
        <f>IF(0=F108,0,F150/F108)</f>
        <v>-0.17216670822224819</v>
      </c>
      <c r="G153" s="286">
        <f>IF(0=G108,0,G150/G108)</f>
        <v>0.58202693404108807</v>
      </c>
    </row>
    <row r="154" spans="1:7" ht="25.5">
      <c r="A154" s="508" t="s">
        <v>79</v>
      </c>
      <c r="B154" s="661"/>
      <c r="C154" s="661" t="s">
        <v>78</v>
      </c>
      <c r="D154" s="282">
        <f>D150-D107</f>
        <v>-30752.100000000035</v>
      </c>
      <c r="E154" s="282">
        <f>E150-E107</f>
        <v>-30894.599999999984</v>
      </c>
      <c r="F154" s="282">
        <f>F150-F107</f>
        <v>-23859.339999999916</v>
      </c>
      <c r="G154" s="282">
        <f>G150-G107</f>
        <v>-10469.000000000029</v>
      </c>
    </row>
    <row r="155" spans="1:7" ht="25.5">
      <c r="A155" s="660" t="s">
        <v>77</v>
      </c>
      <c r="B155" s="659"/>
      <c r="C155" s="659" t="s">
        <v>76</v>
      </c>
      <c r="D155" s="279">
        <f>D150-D108</f>
        <v>-29834.300000000032</v>
      </c>
      <c r="E155" s="279">
        <f>E150-E108</f>
        <v>-31083.599999999984</v>
      </c>
      <c r="F155" s="279">
        <f>F150-F108</f>
        <v>-24446.239999999918</v>
      </c>
      <c r="G155" s="279">
        <f>G150-G108</f>
        <v>-10630.100000000028</v>
      </c>
    </row>
    <row r="156" spans="1:7">
      <c r="A156" s="658" t="s">
        <v>75</v>
      </c>
      <c r="B156" s="657"/>
      <c r="C156" s="657" t="s">
        <v>74</v>
      </c>
      <c r="D156" s="277">
        <f>D135+D136-D137+D141-D142</f>
        <v>185494.09999999998</v>
      </c>
      <c r="E156" s="277">
        <f>E135+E136-E137+E141-E142</f>
        <v>0</v>
      </c>
      <c r="F156" s="277">
        <f>F135+F136-F137+F141-F142</f>
        <v>218562.7</v>
      </c>
      <c r="G156" s="277">
        <f>G135+G136-G137+G141-G142</f>
        <v>0</v>
      </c>
    </row>
    <row r="157" spans="1:7">
      <c r="A157" s="656" t="s">
        <v>73</v>
      </c>
      <c r="B157" s="655"/>
      <c r="C157" s="655" t="s">
        <v>72</v>
      </c>
      <c r="D157" s="273">
        <f>IF(D177=0,0,D156/D177)</f>
        <v>0.51757018321451165</v>
      </c>
      <c r="E157" s="273">
        <f>IF(E177=0,0,E156/E177)</f>
        <v>0</v>
      </c>
      <c r="F157" s="273">
        <f>IF(F177=0,0,F156/F177)</f>
        <v>0.5818433985283078</v>
      </c>
      <c r="G157" s="273">
        <f>IF(G177=0,0,G156/G177)</f>
        <v>0</v>
      </c>
    </row>
    <row r="158" spans="1:7">
      <c r="A158" s="658" t="s">
        <v>71</v>
      </c>
      <c r="B158" s="657"/>
      <c r="C158" s="657" t="s">
        <v>70</v>
      </c>
      <c r="D158" s="277">
        <f>D133-D142-D111</f>
        <v>55538.700000000041</v>
      </c>
      <c r="E158" s="277">
        <f>E133-E142-E111</f>
        <v>0</v>
      </c>
      <c r="F158" s="277">
        <f>F133-F142-F111</f>
        <v>71887.199999999983</v>
      </c>
      <c r="G158" s="277">
        <f>G133-G142-G111</f>
        <v>0</v>
      </c>
    </row>
    <row r="159" spans="1:7">
      <c r="A159" s="654" t="s">
        <v>69</v>
      </c>
      <c r="B159" s="653"/>
      <c r="C159" s="653" t="s">
        <v>68</v>
      </c>
      <c r="D159" s="265">
        <f>D121-D123-D124-D142-D145</f>
        <v>-32798.400000000016</v>
      </c>
      <c r="E159" s="265">
        <f>E121-E123-E124-E142-E145</f>
        <v>0</v>
      </c>
      <c r="F159" s="265">
        <f>F121-F123-F124-F142-F145</f>
        <v>-17436.600000000064</v>
      </c>
      <c r="G159" s="265">
        <f>G121-G123-G124-G142-G145</f>
        <v>0</v>
      </c>
    </row>
    <row r="160" spans="1:7">
      <c r="A160" s="654" t="s">
        <v>66</v>
      </c>
      <c r="B160" s="653"/>
      <c r="C160" s="653" t="s">
        <v>67</v>
      </c>
      <c r="D160" s="276">
        <f>IF(D175=0,"-",1000*D158/D175)</f>
        <v>1012.2976815398082</v>
      </c>
      <c r="E160" s="276">
        <f>IF(E175=0,"-",1000*E158/E175)</f>
        <v>0</v>
      </c>
      <c r="F160" s="276">
        <f>IF(F175=0,"-",1000*F158/F175)</f>
        <v>1334.3579463191888</v>
      </c>
      <c r="G160" s="276">
        <f>IF(G175=0,"-",1000*G158/G175)</f>
        <v>0</v>
      </c>
    </row>
    <row r="161" spans="1:7">
      <c r="A161" s="654" t="s">
        <v>66</v>
      </c>
      <c r="B161" s="653"/>
      <c r="C161" s="653" t="s">
        <v>65</v>
      </c>
      <c r="D161" s="265">
        <f>IF(D175=0,0,1000*(D159/D175))</f>
        <v>-597.81277340332485</v>
      </c>
      <c r="E161" s="265">
        <f>IF(E175=0,0,1000*(E159/E175))</f>
        <v>0</v>
      </c>
      <c r="F161" s="265">
        <f>IF(F175=0,0,1000*(F159/F175))</f>
        <v>-323.65519545606537</v>
      </c>
      <c r="G161" s="265">
        <f>IF(G175=0,0,1000*(G159/G175))</f>
        <v>0</v>
      </c>
    </row>
    <row r="162" spans="1:7">
      <c r="A162" s="656" t="s">
        <v>64</v>
      </c>
      <c r="B162" s="655"/>
      <c r="C162" s="655" t="s">
        <v>63</v>
      </c>
      <c r="D162" s="273">
        <f>IF((D22+D23+D65+D66)=0,0,D158/(D22+D23+D65+D66))</f>
        <v>0.36239428559869891</v>
      </c>
      <c r="E162" s="273">
        <f>IF((E22+E23+E65+E66)=0,0,E158/(E22+E23+E65+E66))</f>
        <v>0</v>
      </c>
      <c r="F162" s="273">
        <f>IF((F22+F23+F65+F66)=0,0,F158/(F22+F23+F65+F66))</f>
        <v>0.43191994058991889</v>
      </c>
      <c r="G162" s="273">
        <f>IF((G22+G23+G65+G66)=0,0,G158/(G22+G23+G65+G66))</f>
        <v>0</v>
      </c>
    </row>
    <row r="163" spans="1:7">
      <c r="A163" s="654" t="s">
        <v>62</v>
      </c>
      <c r="B163" s="653"/>
      <c r="C163" s="653" t="s">
        <v>61</v>
      </c>
      <c r="D163" s="268">
        <f>D145</f>
        <v>85882.1</v>
      </c>
      <c r="E163" s="268">
        <f>E145</f>
        <v>0</v>
      </c>
      <c r="F163" s="268">
        <f>F145</f>
        <v>180363</v>
      </c>
      <c r="G163" s="268">
        <f>G145</f>
        <v>0</v>
      </c>
    </row>
    <row r="164" spans="1:7" ht="25.5">
      <c r="A164" s="497" t="s">
        <v>60</v>
      </c>
      <c r="B164" s="655"/>
      <c r="C164" s="655" t="s">
        <v>59</v>
      </c>
      <c r="D164" s="274">
        <f>IF(D178=0,0,D146/D178)</f>
        <v>6.133793102366987E-2</v>
      </c>
      <c r="E164" s="274">
        <f>IF(E178=0,0,E146/E178)</f>
        <v>0</v>
      </c>
      <c r="F164" s="274">
        <f>IF(F178=0,0,F146/F178)</f>
        <v>3.4729831636925723E-2</v>
      </c>
      <c r="G164" s="274">
        <f>IF(G178=0,0,G146/G178)</f>
        <v>0</v>
      </c>
    </row>
    <row r="165" spans="1:7">
      <c r="A165" s="652" t="s">
        <v>58</v>
      </c>
      <c r="B165" s="651"/>
      <c r="C165" s="651" t="s">
        <v>57</v>
      </c>
      <c r="D165" s="262">
        <f>IF(D177=0,0,D180/D177)</f>
        <v>8.0085581765994493E-2</v>
      </c>
      <c r="E165" s="262">
        <f>IF(E177=0,0,E180/E177)</f>
        <v>4.4081621040262156E-2</v>
      </c>
      <c r="F165" s="262">
        <f>IF(F177=0,0,F180/F177)</f>
        <v>4.1331242102111178E-2</v>
      </c>
      <c r="G165" s="262">
        <f>IF(G177=0,0,G180/G177)</f>
        <v>4.4736315116968621E-2</v>
      </c>
    </row>
    <row r="166" spans="1:7">
      <c r="A166" s="654" t="s">
        <v>56</v>
      </c>
      <c r="B166" s="653"/>
      <c r="C166" s="653" t="s">
        <v>55</v>
      </c>
      <c r="D166" s="268">
        <f>D55</f>
        <v>15472.800000000003</v>
      </c>
      <c r="E166" s="268">
        <f>E55</f>
        <v>15283</v>
      </c>
      <c r="F166" s="268">
        <f>F55</f>
        <v>15431.06</v>
      </c>
      <c r="G166" s="268">
        <f>G55</f>
        <v>13940.800000000001</v>
      </c>
    </row>
    <row r="167" spans="1:7">
      <c r="A167" s="656" t="s">
        <v>54</v>
      </c>
      <c r="B167" s="655"/>
      <c r="C167" s="655" t="s">
        <v>53</v>
      </c>
      <c r="D167" s="273">
        <f>IF(0=D111,0,(D44+D45+D46+D47+D48)/D111)</f>
        <v>4.8544376752511352E-2</v>
      </c>
      <c r="E167" s="273">
        <f>IF(0=E111,0,(E44+E45+E46+E47+E48)/E111)</f>
        <v>0</v>
      </c>
      <c r="F167" s="273">
        <f>IF(0=F111,0,(F44+F45+F46+F47+F48)/F111)</f>
        <v>5.6362199208922277E-2</v>
      </c>
      <c r="G167" s="273">
        <f>IF(0=G111,0,(G44+G45+G46+G47+G48)/G111)</f>
        <v>0</v>
      </c>
    </row>
    <row r="168" spans="1:7">
      <c r="A168" s="654" t="s">
        <v>52</v>
      </c>
      <c r="B168" s="657"/>
      <c r="C168" s="657" t="s">
        <v>51</v>
      </c>
      <c r="D168" s="268">
        <f>D38-D44</f>
        <v>-1.3999999999999773</v>
      </c>
      <c r="E168" s="268">
        <f>E38-E44</f>
        <v>281.29999999999995</v>
      </c>
      <c r="F168" s="268">
        <f>F38-F44</f>
        <v>204.29999999999995</v>
      </c>
      <c r="G168" s="268">
        <f>G38-G44</f>
        <v>375.5</v>
      </c>
    </row>
    <row r="169" spans="1:7">
      <c r="A169" s="656" t="s">
        <v>50</v>
      </c>
      <c r="B169" s="655"/>
      <c r="C169" s="655" t="s">
        <v>49</v>
      </c>
      <c r="D169" s="269">
        <f>IF(D177=0,0,D168/D177)</f>
        <v>-3.9063143059553091E-6</v>
      </c>
      <c r="E169" s="269">
        <f>IF(E177=0,0,E168/E177)</f>
        <v>7.5503461537119478E-4</v>
      </c>
      <c r="F169" s="269">
        <f>IF(F177=0,0,F168/F177)</f>
        <v>5.438741666319699E-4</v>
      </c>
      <c r="G169" s="269">
        <f>IF(G177=0,0,G168/G177)</f>
        <v>9.7027044835280114E-4</v>
      </c>
    </row>
    <row r="170" spans="1:7">
      <c r="A170" s="654" t="s">
        <v>48</v>
      </c>
      <c r="B170" s="653"/>
      <c r="C170" s="653" t="s">
        <v>47</v>
      </c>
      <c r="D170" s="268">
        <f>SUM(D82:D87)+SUM(D89:D94)</f>
        <v>46253.4</v>
      </c>
      <c r="E170" s="268">
        <f>SUM(E82:E87)+SUM(E89:E94)</f>
        <v>33682</v>
      </c>
      <c r="F170" s="268">
        <f>SUM(F82:F87)+SUM(F89:F94)</f>
        <v>28784.6</v>
      </c>
      <c r="G170" s="268">
        <f>SUM(G82:G87)+SUM(G89:G94)</f>
        <v>35743</v>
      </c>
    </row>
    <row r="171" spans="1:7">
      <c r="A171" s="654" t="s">
        <v>46</v>
      </c>
      <c r="B171" s="653"/>
      <c r="C171" s="653" t="s">
        <v>45</v>
      </c>
      <c r="D171" s="265">
        <f>SUM(D96:D102)+SUM(D104:D105)</f>
        <v>11899.6</v>
      </c>
      <c r="E171" s="265">
        <f>SUM(E96:E102)+SUM(E104:E105)</f>
        <v>9247</v>
      </c>
      <c r="F171" s="265">
        <f>SUM(F96:F102)+SUM(F104:F105)</f>
        <v>8515.9</v>
      </c>
      <c r="G171" s="265">
        <f>SUM(G96:G102)+SUM(G104:G105)</f>
        <v>10471.6</v>
      </c>
    </row>
    <row r="172" spans="1:7">
      <c r="A172" s="652" t="s">
        <v>44</v>
      </c>
      <c r="B172" s="651"/>
      <c r="C172" s="651" t="s">
        <v>43</v>
      </c>
      <c r="D172" s="262">
        <f>IF(D184=0,0,D170/D184)</f>
        <v>0.11627925685293278</v>
      </c>
      <c r="E172" s="262">
        <f>IF(E184=0,0,E170/E184)</f>
        <v>8.4271975152252251E-2</v>
      </c>
      <c r="F172" s="262">
        <f>IF(F184=0,0,F170/F184)</f>
        <v>7.2682583915020929E-2</v>
      </c>
      <c r="G172" s="262">
        <f>IF(G184=0,0,G170/G184)</f>
        <v>9.014527959841051E-2</v>
      </c>
    </row>
    <row r="174" spans="1:7">
      <c r="A174" s="649" t="s">
        <v>42</v>
      </c>
      <c r="B174" s="477"/>
      <c r="C174" s="649"/>
      <c r="D174" s="260"/>
      <c r="E174" s="260"/>
      <c r="F174" s="260"/>
      <c r="G174" s="260"/>
    </row>
    <row r="175" spans="1:7" s="480" customFormat="1">
      <c r="A175" s="477" t="s">
        <v>41</v>
      </c>
      <c r="B175" s="477"/>
      <c r="C175" s="477" t="s">
        <v>40</v>
      </c>
      <c r="D175" s="257">
        <v>54864</v>
      </c>
      <c r="E175" s="650">
        <v>55000</v>
      </c>
      <c r="F175" s="257">
        <v>53874</v>
      </c>
      <c r="G175" s="650">
        <v>54136</v>
      </c>
    </row>
    <row r="176" spans="1:7">
      <c r="A176" s="649" t="s">
        <v>39</v>
      </c>
      <c r="B176" s="477"/>
      <c r="C176" s="477"/>
      <c r="D176" s="477"/>
      <c r="E176" s="477"/>
      <c r="F176" s="477"/>
      <c r="G176" s="477"/>
    </row>
    <row r="177" spans="1:7">
      <c r="A177" s="477" t="s">
        <v>38</v>
      </c>
      <c r="B177" s="477"/>
      <c r="C177" s="477" t="s">
        <v>37</v>
      </c>
      <c r="D177" s="475">
        <f>SUM(D22:D32)+SUM(D44:D53)+SUM(D65:D72)+D75</f>
        <v>358394.09999999992</v>
      </c>
      <c r="E177" s="475">
        <f>SUM(E22:E32)+SUM(E44:E53)+SUM(E65:E72)+E75</f>
        <v>372565.7</v>
      </c>
      <c r="F177" s="475">
        <f>SUM(F22:F32)+SUM(F44:F53)+SUM(F65:F72)+F75</f>
        <v>375638.3600000001</v>
      </c>
      <c r="G177" s="475">
        <f>SUM(G22:G32)+SUM(G44:G53)+SUM(G65:G72)+G75</f>
        <v>387005.5</v>
      </c>
    </row>
    <row r="178" spans="1:7">
      <c r="A178" s="477" t="s">
        <v>36</v>
      </c>
      <c r="B178" s="477"/>
      <c r="C178" s="477" t="s">
        <v>35</v>
      </c>
      <c r="D178" s="475">
        <f>D78-D17-D20-D59-D63-D64</f>
        <v>382684.89999999997</v>
      </c>
      <c r="E178" s="475">
        <f>E78-E17-E20-E59-E63-E64</f>
        <v>382904.3</v>
      </c>
      <c r="F178" s="475">
        <f>F78-F17-F20-F59-F63-F64</f>
        <v>384027.19999999995</v>
      </c>
      <c r="G178" s="475">
        <f>G78-G17-G20-G59-G63-G64</f>
        <v>378129.6</v>
      </c>
    </row>
    <row r="179" spans="1:7">
      <c r="A179" s="477"/>
      <c r="B179" s="477"/>
      <c r="C179" s="477" t="s">
        <v>34</v>
      </c>
      <c r="D179" s="475">
        <f>D178+D170</f>
        <v>428938.3</v>
      </c>
      <c r="E179" s="475">
        <f>E178+E170</f>
        <v>416586.3</v>
      </c>
      <c r="F179" s="475">
        <f>F178+F170</f>
        <v>412811.79999999993</v>
      </c>
      <c r="G179" s="475">
        <f>G178+G170</f>
        <v>413872.6</v>
      </c>
    </row>
    <row r="180" spans="1:7">
      <c r="A180" s="477" t="s">
        <v>33</v>
      </c>
      <c r="B180" s="477"/>
      <c r="C180" s="477" t="s">
        <v>32</v>
      </c>
      <c r="D180" s="475">
        <f>D38-D44+D8+D9+D10+D16-D33</f>
        <v>28702.2</v>
      </c>
      <c r="E180" s="475">
        <f>E38-E44+E8+E9+E10+E16-E33</f>
        <v>16423.3</v>
      </c>
      <c r="F180" s="475">
        <f>F38-F44+F8+F9+F10+F16-F33</f>
        <v>15525.599999999999</v>
      </c>
      <c r="G180" s="475">
        <f>G38-G44+G8+G9+G10+G16-G33</f>
        <v>17313.2</v>
      </c>
    </row>
    <row r="181" spans="1:7" ht="27.6" customHeight="1">
      <c r="A181" s="648" t="s">
        <v>31</v>
      </c>
      <c r="B181" s="472"/>
      <c r="C181" s="472" t="s">
        <v>30</v>
      </c>
      <c r="D181" s="249">
        <f>D22+D23+D24+D25+D26+D29+SUM(D44:D47)+SUM(D49:D53)-D54+D32-D33+SUM(D65:D70)+D72</f>
        <v>348254.19999999995</v>
      </c>
      <c r="E181" s="249">
        <f>E22+E23+E24+E25+E26+E29+SUM(E44:E47)+SUM(E49:E53)-E54+E32-E33+SUM(E65:E70)+E72</f>
        <v>352391.5</v>
      </c>
      <c r="F181" s="249">
        <f>F22+F23+F24+F25+F26+F29+SUM(F44:F47)+SUM(F49:F53)-F54+F32-F33+SUM(F65:F70)+F72</f>
        <v>362269.56000000006</v>
      </c>
      <c r="G181" s="249">
        <f>G22+G23+G24+G25+G26+G29+SUM(G44:G47)+SUM(G49:G53)-G54+G32-G33+SUM(G65:G70)+G72</f>
        <v>371957.79999999993</v>
      </c>
    </row>
    <row r="182" spans="1:7">
      <c r="A182" s="472" t="s">
        <v>29</v>
      </c>
      <c r="B182" s="472"/>
      <c r="C182" s="472" t="s">
        <v>28</v>
      </c>
      <c r="D182" s="249">
        <f>D181+D171</f>
        <v>360153.79999999993</v>
      </c>
      <c r="E182" s="249">
        <f>E181+E171</f>
        <v>361638.5</v>
      </c>
      <c r="F182" s="249">
        <f>F181+F171</f>
        <v>370785.46000000008</v>
      </c>
      <c r="G182" s="249">
        <f>G181+G171</f>
        <v>382429.39999999991</v>
      </c>
    </row>
    <row r="183" spans="1:7">
      <c r="A183" s="472" t="s">
        <v>27</v>
      </c>
      <c r="B183" s="472"/>
      <c r="C183" s="472" t="s">
        <v>26</v>
      </c>
      <c r="D183" s="249">
        <f>D4+D5-D7+D38+D39+D40+D41+D43+D13-D16+D57+D58+D60+D62</f>
        <v>351525.19999999995</v>
      </c>
      <c r="E183" s="249">
        <f>E4+E5-E7+E38+E39+E40+E41+E43+E13-E16+E57+E58+E60+E62</f>
        <v>366000.10000000003</v>
      </c>
      <c r="F183" s="249">
        <f>F4+F5-F7+F38+F39+F40+F41+F43+F13-F16+F57+F58+F60+F62</f>
        <v>367247</v>
      </c>
      <c r="G183" s="249">
        <f>G4+G5-G7+G38+G39+G40+G41+G43+G13-G16+G57+G58+G60+G62</f>
        <v>360761.4</v>
      </c>
    </row>
    <row r="184" spans="1:7">
      <c r="A184" s="472" t="s">
        <v>25</v>
      </c>
      <c r="B184" s="472"/>
      <c r="C184" s="472" t="s">
        <v>24</v>
      </c>
      <c r="D184" s="249">
        <f>D183+D170</f>
        <v>397778.6</v>
      </c>
      <c r="E184" s="249">
        <f>E183+E170</f>
        <v>399682.10000000003</v>
      </c>
      <c r="F184" s="249">
        <f>F183+F170</f>
        <v>396031.6</v>
      </c>
      <c r="G184" s="249">
        <f>G183+G170</f>
        <v>396504.4</v>
      </c>
    </row>
    <row r="185" spans="1:7">
      <c r="A185" s="472"/>
      <c r="B185" s="472"/>
      <c r="C185" s="472" t="s">
        <v>23</v>
      </c>
      <c r="D185" s="249">
        <f t="shared" ref="D185:G186" si="0">D181-D183</f>
        <v>-3271</v>
      </c>
      <c r="E185" s="249">
        <f t="shared" si="0"/>
        <v>-13608.600000000035</v>
      </c>
      <c r="F185" s="249">
        <f t="shared" si="0"/>
        <v>-4977.4399999999441</v>
      </c>
      <c r="G185" s="249">
        <f t="shared" si="0"/>
        <v>11196.399999999907</v>
      </c>
    </row>
    <row r="186" spans="1:7">
      <c r="A186" s="472"/>
      <c r="B186" s="472"/>
      <c r="C186" s="472" t="s">
        <v>22</v>
      </c>
      <c r="D186" s="249">
        <f t="shared" si="0"/>
        <v>-37624.800000000047</v>
      </c>
      <c r="E186" s="249">
        <f t="shared" si="0"/>
        <v>-38043.600000000035</v>
      </c>
      <c r="F186" s="249">
        <f t="shared" si="0"/>
        <v>-25246.139999999898</v>
      </c>
      <c r="G186" s="249">
        <f t="shared" si="0"/>
        <v>-14075.000000000116</v>
      </c>
    </row>
  </sheetData>
  <sheetProtection selectLockedCells="1" sort="0" autoFilter="0" pivotTables="0"/>
  <mergeCells count="2">
    <mergeCell ref="A3:C3"/>
    <mergeCell ref="A81:C81"/>
  </mergeCells>
  <pageMargins left="0.23622047244094491" right="0.23622047244094491" top="0.74803149606299213" bottom="0.74803149606299213" header="0.31496062992125984" footer="0.31496062992125984"/>
  <pageSetup paperSize="9" orientation="landscape" r:id="rId1"/>
  <headerFooter alignWithMargins="0">
    <oddHeader>&amp;LFachgruppe für kantonale Finanzfragen (FkF)
Groupe d'études pour les finances cantonales
&amp;CKanton VD&amp;RZürich, 11.05.2015</oddHeader>
    <oddFooter>&amp;L&amp;F / &amp;A</oddFooter>
  </headerFooter>
  <rowBreaks count="2" manualBreakCount="2">
    <brk id="79" max="16383" man="1"/>
    <brk id="148" max="16383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9"/>
  <dimension ref="A1:I43"/>
  <sheetViews>
    <sheetView zoomScaleNormal="100" workbookViewId="0">
      <selection activeCell="L48" sqref="L48"/>
    </sheetView>
  </sheetViews>
  <sheetFormatPr baseColWidth="10" defaultRowHeight="12.75"/>
  <cols>
    <col min="2" max="2" width="52.42578125" bestFit="1" customWidth="1"/>
    <col min="8" max="8" width="11.42578125" style="65"/>
  </cols>
  <sheetData>
    <row r="1" spans="1:9">
      <c r="A1" s="5" t="s">
        <v>528</v>
      </c>
      <c r="B1" s="6" t="s">
        <v>603</v>
      </c>
      <c r="C1" s="54" t="s">
        <v>255</v>
      </c>
      <c r="D1" s="7" t="s">
        <v>530</v>
      </c>
      <c r="E1" s="54" t="s">
        <v>254</v>
      </c>
      <c r="F1" s="7" t="s">
        <v>530</v>
      </c>
      <c r="G1" s="54" t="s">
        <v>255</v>
      </c>
      <c r="H1" s="7" t="s">
        <v>530</v>
      </c>
      <c r="I1" s="55" t="s">
        <v>254</v>
      </c>
    </row>
    <row r="2" spans="1:9">
      <c r="A2" s="112">
        <v>0</v>
      </c>
      <c r="B2" s="115">
        <v>0</v>
      </c>
      <c r="C2" s="62">
        <v>2013</v>
      </c>
      <c r="D2" s="3" t="s">
        <v>531</v>
      </c>
      <c r="E2" s="62">
        <v>2014</v>
      </c>
      <c r="F2" s="3" t="s">
        <v>531</v>
      </c>
      <c r="G2" s="63">
        <v>2014</v>
      </c>
      <c r="H2" s="3" t="s">
        <v>531</v>
      </c>
      <c r="I2" s="64">
        <v>2015</v>
      </c>
    </row>
    <row r="3" spans="1:9">
      <c r="A3" s="112">
        <v>0</v>
      </c>
      <c r="B3" s="2" t="s">
        <v>532</v>
      </c>
      <c r="C3" s="114">
        <v>0</v>
      </c>
      <c r="D3" s="113">
        <v>0</v>
      </c>
      <c r="E3" s="114">
        <v>0</v>
      </c>
      <c r="F3" s="115">
        <v>0</v>
      </c>
      <c r="G3" s="116">
        <v>0</v>
      </c>
      <c r="H3" s="113">
        <v>0</v>
      </c>
      <c r="I3" s="105" t="s">
        <v>604</v>
      </c>
    </row>
    <row r="4" spans="1:9">
      <c r="A4" s="5" t="s">
        <v>533</v>
      </c>
      <c r="B4" s="9" t="s">
        <v>250</v>
      </c>
      <c r="C4" s="10">
        <v>21493.8</v>
      </c>
      <c r="D4" s="11">
        <v>5.2898975518521959E-3</v>
      </c>
      <c r="E4" s="10">
        <v>21607.5</v>
      </c>
      <c r="F4" s="11">
        <v>-3.1794515793127725E-3</v>
      </c>
      <c r="G4" s="10">
        <v>21538.799999999999</v>
      </c>
      <c r="H4" s="241">
        <v>4.2235407729307145E-2</v>
      </c>
      <c r="I4" s="12">
        <v>22448.5</v>
      </c>
    </row>
    <row r="5" spans="1:9">
      <c r="A5" s="13" t="s">
        <v>534</v>
      </c>
      <c r="B5" s="14" t="s">
        <v>535</v>
      </c>
      <c r="C5" s="15">
        <v>11412.4</v>
      </c>
      <c r="D5" s="16">
        <v>8.4828782727559532E-2</v>
      </c>
      <c r="E5" s="15">
        <v>12380.5</v>
      </c>
      <c r="F5" s="16">
        <v>-6.0571059327167692E-2</v>
      </c>
      <c r="G5" s="15">
        <v>11630.6</v>
      </c>
      <c r="H5" s="41">
        <v>7.8362251302598288E-2</v>
      </c>
      <c r="I5" s="17">
        <v>12542</v>
      </c>
    </row>
    <row r="6" spans="1:9">
      <c r="A6" s="13" t="s">
        <v>248</v>
      </c>
      <c r="B6" s="14" t="s">
        <v>536</v>
      </c>
      <c r="C6" s="15">
        <v>1166.3</v>
      </c>
      <c r="D6" s="16">
        <v>0.14807510932007206</v>
      </c>
      <c r="E6" s="15">
        <v>1339</v>
      </c>
      <c r="F6" s="16">
        <v>-9.0515309932785698E-2</v>
      </c>
      <c r="G6" s="15">
        <v>1217.8</v>
      </c>
      <c r="H6" s="41">
        <v>1.0610937756610281</v>
      </c>
      <c r="I6" s="17">
        <v>2510</v>
      </c>
    </row>
    <row r="7" spans="1:9">
      <c r="A7" s="13" t="s">
        <v>537</v>
      </c>
      <c r="B7" s="14" t="s">
        <v>538</v>
      </c>
      <c r="C7" s="15">
        <v>17</v>
      </c>
      <c r="D7" s="16">
        <v>1.1764705882352942</v>
      </c>
      <c r="E7" s="15">
        <v>37</v>
      </c>
      <c r="F7" s="16">
        <v>-0.52162162162162162</v>
      </c>
      <c r="G7" s="15">
        <v>17.7</v>
      </c>
      <c r="H7" s="41">
        <v>1.0338983050847459</v>
      </c>
      <c r="I7" s="17">
        <v>36</v>
      </c>
    </row>
    <row r="8" spans="1:9">
      <c r="A8" s="13" t="s">
        <v>539</v>
      </c>
      <c r="B8" s="14" t="s">
        <v>540</v>
      </c>
      <c r="C8" s="15">
        <v>0</v>
      </c>
      <c r="D8" s="16" t="s">
        <v>555</v>
      </c>
      <c r="E8" s="15">
        <v>0</v>
      </c>
      <c r="F8" s="16" t="s">
        <v>555</v>
      </c>
      <c r="G8" s="15">
        <v>0</v>
      </c>
      <c r="H8" s="41" t="s">
        <v>555</v>
      </c>
      <c r="I8" s="17">
        <v>0</v>
      </c>
    </row>
    <row r="9" spans="1:9">
      <c r="A9" s="13" t="s">
        <v>541</v>
      </c>
      <c r="B9" s="14" t="s">
        <v>542</v>
      </c>
      <c r="C9" s="15">
        <v>5316</v>
      </c>
      <c r="D9" s="16">
        <v>-0.55699774266365687</v>
      </c>
      <c r="E9" s="15">
        <v>2355</v>
      </c>
      <c r="F9" s="16">
        <v>3.7706581740976644</v>
      </c>
      <c r="G9" s="15">
        <v>11234.9</v>
      </c>
      <c r="H9" s="41">
        <v>-0.76920132800469965</v>
      </c>
      <c r="I9" s="17">
        <v>2593</v>
      </c>
    </row>
    <row r="10" spans="1:9">
      <c r="A10" s="13" t="s">
        <v>543</v>
      </c>
      <c r="B10" s="14" t="s">
        <v>544</v>
      </c>
      <c r="C10" s="15">
        <v>102442.3</v>
      </c>
      <c r="D10" s="16">
        <v>-2.4989677115800795E-3</v>
      </c>
      <c r="E10" s="15">
        <v>102186.3</v>
      </c>
      <c r="F10" s="16">
        <v>3.1961231593666791E-3</v>
      </c>
      <c r="G10" s="15">
        <v>102512.9</v>
      </c>
      <c r="H10" s="41">
        <v>-2.2090878318728583E-2</v>
      </c>
      <c r="I10" s="17">
        <v>100248.3</v>
      </c>
    </row>
    <row r="11" spans="1:9">
      <c r="A11" s="13" t="s">
        <v>545</v>
      </c>
      <c r="B11" s="14" t="s">
        <v>546</v>
      </c>
      <c r="C11" s="15">
        <v>18858.099999999999</v>
      </c>
      <c r="D11" s="41">
        <v>-6.945026275181472E-2</v>
      </c>
      <c r="E11" s="15">
        <v>17548.400000000001</v>
      </c>
      <c r="F11" s="16">
        <v>1.2194843974378186E-3</v>
      </c>
      <c r="G11" s="15">
        <v>17569.8</v>
      </c>
      <c r="H11" s="41">
        <v>-3.8384045350544564E-2</v>
      </c>
      <c r="I11" s="17">
        <v>16895.400000000001</v>
      </c>
    </row>
    <row r="12" spans="1:9">
      <c r="A12" s="13" t="s">
        <v>547</v>
      </c>
      <c r="B12" s="14" t="s">
        <v>548</v>
      </c>
      <c r="C12" s="15">
        <v>484.5</v>
      </c>
      <c r="D12" s="41">
        <v>9.1847265221878222E-2</v>
      </c>
      <c r="E12" s="15">
        <v>529</v>
      </c>
      <c r="F12" s="16">
        <v>2.8355387523629491E-3</v>
      </c>
      <c r="G12" s="15">
        <v>530.5</v>
      </c>
      <c r="H12" s="41">
        <v>2.8275212064090482E-3</v>
      </c>
      <c r="I12" s="17">
        <v>532</v>
      </c>
    </row>
    <row r="13" spans="1:9">
      <c r="A13" s="13" t="s">
        <v>549</v>
      </c>
      <c r="B13" s="14" t="s">
        <v>550</v>
      </c>
      <c r="C13" s="15">
        <v>9199.1</v>
      </c>
      <c r="D13" s="41">
        <v>0.17141894315748274</v>
      </c>
      <c r="E13" s="15">
        <v>10776</v>
      </c>
      <c r="F13" s="41">
        <v>-8.8028953229398701E-2</v>
      </c>
      <c r="G13" s="15">
        <v>9827.4</v>
      </c>
      <c r="H13" s="41">
        <v>-1.8763864297779639E-2</v>
      </c>
      <c r="I13" s="17">
        <v>9643</v>
      </c>
    </row>
    <row r="14" spans="1:9">
      <c r="A14" s="13" t="s">
        <v>551</v>
      </c>
      <c r="B14" s="14" t="s">
        <v>552</v>
      </c>
      <c r="C14" s="15">
        <v>0</v>
      </c>
      <c r="D14" s="41" t="s">
        <v>555</v>
      </c>
      <c r="E14" s="15">
        <v>0</v>
      </c>
      <c r="F14" s="16" t="s">
        <v>555</v>
      </c>
      <c r="G14" s="15">
        <v>0</v>
      </c>
      <c r="H14" s="41" t="s">
        <v>555</v>
      </c>
      <c r="I14" s="17">
        <v>0</v>
      </c>
    </row>
    <row r="15" spans="1:9">
      <c r="A15" s="13" t="s">
        <v>553</v>
      </c>
      <c r="B15" s="14" t="s">
        <v>554</v>
      </c>
      <c r="C15" s="15">
        <v>0</v>
      </c>
      <c r="D15" s="41" t="s">
        <v>555</v>
      </c>
      <c r="E15" s="15">
        <v>0</v>
      </c>
      <c r="F15" s="16" t="s">
        <v>555</v>
      </c>
      <c r="G15" s="15">
        <v>0</v>
      </c>
      <c r="H15" s="41" t="s">
        <v>555</v>
      </c>
      <c r="I15" s="17">
        <v>0</v>
      </c>
    </row>
    <row r="16" spans="1:9">
      <c r="A16" s="13" t="s">
        <v>556</v>
      </c>
      <c r="B16" s="14" t="s">
        <v>557</v>
      </c>
      <c r="C16" s="15">
        <v>270</v>
      </c>
      <c r="D16" s="41">
        <v>0</v>
      </c>
      <c r="E16" s="15">
        <v>270</v>
      </c>
      <c r="F16" s="41">
        <v>0</v>
      </c>
      <c r="G16" s="15">
        <v>270</v>
      </c>
      <c r="H16" s="41">
        <v>0</v>
      </c>
      <c r="I16" s="17">
        <v>270</v>
      </c>
    </row>
    <row r="17" spans="1:9">
      <c r="A17" s="13" t="s">
        <v>558</v>
      </c>
      <c r="B17" s="14" t="s">
        <v>559</v>
      </c>
      <c r="C17" s="15">
        <v>1794.6</v>
      </c>
      <c r="D17" s="16">
        <v>-0.57372116349047142</v>
      </c>
      <c r="E17" s="15">
        <v>765</v>
      </c>
      <c r="F17" s="16">
        <v>4.0907189542483664</v>
      </c>
      <c r="G17" s="15">
        <v>3894.4</v>
      </c>
      <c r="H17" s="41">
        <v>-0.69764276910435497</v>
      </c>
      <c r="I17" s="17">
        <v>1177.5</v>
      </c>
    </row>
    <row r="18" spans="1:9">
      <c r="A18" s="13">
        <v>389</v>
      </c>
      <c r="B18" s="14" t="s">
        <v>182</v>
      </c>
      <c r="C18" s="15">
        <v>0</v>
      </c>
      <c r="D18" s="41" t="s">
        <v>555</v>
      </c>
      <c r="E18" s="15">
        <v>0</v>
      </c>
      <c r="F18" s="41" t="s">
        <v>555</v>
      </c>
      <c r="G18" s="15">
        <v>0</v>
      </c>
      <c r="H18" s="41" t="s">
        <v>555</v>
      </c>
      <c r="I18" s="17">
        <v>0</v>
      </c>
    </row>
    <row r="19" spans="1:9">
      <c r="A19" s="18" t="s">
        <v>560</v>
      </c>
      <c r="B19" s="19" t="s">
        <v>561</v>
      </c>
      <c r="C19" s="20">
        <v>6868.6</v>
      </c>
      <c r="D19" s="41">
        <v>1.9276126139242296E-2</v>
      </c>
      <c r="E19" s="20">
        <v>7001</v>
      </c>
      <c r="F19" s="41">
        <v>3.9865733466647672E-2</v>
      </c>
      <c r="G19" s="20">
        <v>7280.1</v>
      </c>
      <c r="H19" s="41">
        <v>-4.0123075232483117E-2</v>
      </c>
      <c r="I19" s="21">
        <v>6988</v>
      </c>
    </row>
    <row r="20" spans="1:9">
      <c r="A20" s="22" t="s">
        <v>562</v>
      </c>
      <c r="B20" s="23" t="s">
        <v>563</v>
      </c>
      <c r="C20" s="24">
        <v>149344.69999999998</v>
      </c>
      <c r="D20" s="25">
        <v>-2.0170786107575257E-2</v>
      </c>
      <c r="E20" s="24">
        <v>146332.29999999999</v>
      </c>
      <c r="F20" s="25">
        <v>8.0481889507647855E-2</v>
      </c>
      <c r="G20" s="24">
        <v>158109.39999999997</v>
      </c>
      <c r="H20" s="242">
        <v>-7.637812805563729E-2</v>
      </c>
      <c r="I20" s="26">
        <v>146033.29999999999</v>
      </c>
    </row>
    <row r="21" spans="1:9">
      <c r="A21" s="27" t="s">
        <v>564</v>
      </c>
      <c r="B21" s="28" t="s">
        <v>565</v>
      </c>
      <c r="C21" s="10">
        <v>42786.6</v>
      </c>
      <c r="D21" s="16">
        <v>-0.18432406407613597</v>
      </c>
      <c r="E21" s="10">
        <v>34900</v>
      </c>
      <c r="F21" s="16">
        <v>0.22437249283667618</v>
      </c>
      <c r="G21" s="10">
        <v>42730.6</v>
      </c>
      <c r="H21" s="41">
        <v>-0.14286249198466669</v>
      </c>
      <c r="I21" s="12">
        <v>36626</v>
      </c>
    </row>
    <row r="22" spans="1:9">
      <c r="A22" s="8" t="s">
        <v>566</v>
      </c>
      <c r="B22" s="29" t="s">
        <v>567</v>
      </c>
      <c r="C22" s="15">
        <v>9771.5</v>
      </c>
      <c r="D22" s="16">
        <v>-0.34503402752903856</v>
      </c>
      <c r="E22" s="15">
        <v>6400</v>
      </c>
      <c r="F22" s="16">
        <v>0.14579687500000005</v>
      </c>
      <c r="G22" s="15">
        <v>7333.1</v>
      </c>
      <c r="H22" s="41">
        <v>5.0033410153959394E-2</v>
      </c>
      <c r="I22" s="17">
        <v>7700</v>
      </c>
    </row>
    <row r="23" spans="1:9">
      <c r="A23" s="8" t="s">
        <v>568</v>
      </c>
      <c r="B23" s="29" t="s">
        <v>569</v>
      </c>
      <c r="C23" s="15">
        <v>13407.7</v>
      </c>
      <c r="D23" s="16">
        <v>-7.1376895366096144E-3</v>
      </c>
      <c r="E23" s="15">
        <v>13312</v>
      </c>
      <c r="F23" s="16">
        <v>-7.4676983173076944E-2</v>
      </c>
      <c r="G23" s="15">
        <v>12317.9</v>
      </c>
      <c r="H23" s="41">
        <v>6.3087052176101471E-2</v>
      </c>
      <c r="I23" s="17">
        <v>13095</v>
      </c>
    </row>
    <row r="24" spans="1:9">
      <c r="A24" s="8" t="s">
        <v>570</v>
      </c>
      <c r="B24" s="29" t="s">
        <v>571</v>
      </c>
      <c r="C24" s="15">
        <v>12636.6</v>
      </c>
      <c r="D24" s="16">
        <v>-2.9802320244369556E-2</v>
      </c>
      <c r="E24" s="15">
        <v>12260</v>
      </c>
      <c r="F24" s="16">
        <v>6.4494290375203975E-2</v>
      </c>
      <c r="G24" s="15">
        <v>13050.7</v>
      </c>
      <c r="H24" s="41">
        <v>-2.0742182411671459E-2</v>
      </c>
      <c r="I24" s="17">
        <v>12780</v>
      </c>
    </row>
    <row r="25" spans="1:9">
      <c r="A25" s="8" t="s">
        <v>572</v>
      </c>
      <c r="B25" s="29" t="s">
        <v>573</v>
      </c>
      <c r="C25" s="15">
        <v>62819.6</v>
      </c>
      <c r="D25" s="16">
        <v>-6.52025800864696E-3</v>
      </c>
      <c r="E25" s="15">
        <v>62410</v>
      </c>
      <c r="F25" s="16">
        <v>2.6220157026117633E-2</v>
      </c>
      <c r="G25" s="15">
        <v>64046.400000000001</v>
      </c>
      <c r="H25" s="41">
        <v>-1.9960528616752876E-2</v>
      </c>
      <c r="I25" s="17">
        <v>62768</v>
      </c>
    </row>
    <row r="26" spans="1:9">
      <c r="A26" s="56" t="s">
        <v>574</v>
      </c>
      <c r="B26" s="29" t="s">
        <v>575</v>
      </c>
      <c r="C26" s="15">
        <v>1503.6</v>
      </c>
      <c r="D26" s="16">
        <v>1.7746741154562384</v>
      </c>
      <c r="E26" s="15">
        <v>4172</v>
      </c>
      <c r="F26" s="16">
        <v>1.8877996164908917</v>
      </c>
      <c r="G26" s="15">
        <v>12047.9</v>
      </c>
      <c r="H26" s="41">
        <v>-0.89815652520356248</v>
      </c>
      <c r="I26" s="17">
        <v>1227</v>
      </c>
    </row>
    <row r="27" spans="1:9">
      <c r="A27" s="150">
        <v>489</v>
      </c>
      <c r="B27" s="29" t="s">
        <v>170</v>
      </c>
      <c r="C27" s="15">
        <v>0</v>
      </c>
      <c r="D27" s="16" t="s">
        <v>555</v>
      </c>
      <c r="E27" s="15">
        <v>0</v>
      </c>
      <c r="F27" s="16" t="s">
        <v>555</v>
      </c>
      <c r="G27" s="15">
        <v>0</v>
      </c>
      <c r="H27" s="41" t="s">
        <v>555</v>
      </c>
      <c r="I27" s="17">
        <v>0</v>
      </c>
    </row>
    <row r="28" spans="1:9">
      <c r="A28" s="30" t="s">
        <v>576</v>
      </c>
      <c r="B28" s="31" t="s">
        <v>577</v>
      </c>
      <c r="C28" s="20">
        <v>6868.6</v>
      </c>
      <c r="D28" s="16">
        <v>1.9276126139242296E-2</v>
      </c>
      <c r="E28" s="20">
        <v>7001</v>
      </c>
      <c r="F28" s="16">
        <v>3.9865733466647672E-2</v>
      </c>
      <c r="G28" s="20">
        <v>7280.1</v>
      </c>
      <c r="H28" s="41">
        <v>-4.0123075232483117E-2</v>
      </c>
      <c r="I28" s="21">
        <v>6988</v>
      </c>
    </row>
    <row r="29" spans="1:9">
      <c r="A29" s="48" t="s">
        <v>578</v>
      </c>
      <c r="B29" s="49" t="s">
        <v>579</v>
      </c>
      <c r="C29" s="24">
        <v>149794.20000000001</v>
      </c>
      <c r="D29" s="50">
        <v>-6.2346873243423383E-2</v>
      </c>
      <c r="E29" s="24">
        <v>140455</v>
      </c>
      <c r="F29" s="50">
        <v>0.13065892990637579</v>
      </c>
      <c r="G29" s="24">
        <v>158806.70000000001</v>
      </c>
      <c r="H29" s="243">
        <v>-0.1109694993976955</v>
      </c>
      <c r="I29" s="26">
        <v>141184</v>
      </c>
    </row>
    <row r="30" spans="1:9">
      <c r="A30" s="47" t="s">
        <v>580</v>
      </c>
      <c r="B30" s="32" t="s">
        <v>581</v>
      </c>
      <c r="C30" s="33">
        <v>449.5000000000291</v>
      </c>
      <c r="D30" s="117">
        <v>0</v>
      </c>
      <c r="E30" s="33">
        <v>-5877.2999999999884</v>
      </c>
      <c r="F30" s="117">
        <v>0</v>
      </c>
      <c r="G30" s="34">
        <v>697.30000000004657</v>
      </c>
      <c r="H30" s="244">
        <v>0</v>
      </c>
      <c r="I30" s="35">
        <v>-4849.2999999999884</v>
      </c>
    </row>
    <row r="31" spans="1:9">
      <c r="A31" s="120">
        <v>0</v>
      </c>
      <c r="B31" s="28" t="s">
        <v>582</v>
      </c>
      <c r="C31" s="118">
        <v>0</v>
      </c>
      <c r="D31" s="123">
        <v>0</v>
      </c>
      <c r="E31" s="118">
        <v>0</v>
      </c>
      <c r="F31" s="123">
        <v>0</v>
      </c>
      <c r="G31" s="118">
        <v>0</v>
      </c>
      <c r="H31" s="245">
        <v>0</v>
      </c>
      <c r="I31" s="119">
        <v>0</v>
      </c>
    </row>
    <row r="32" spans="1:9">
      <c r="A32" s="56" t="s">
        <v>583</v>
      </c>
      <c r="B32" s="29" t="s">
        <v>584</v>
      </c>
      <c r="C32" s="15">
        <v>4528.5</v>
      </c>
      <c r="D32" s="16">
        <v>-0.12333002097824887</v>
      </c>
      <c r="E32" s="15">
        <v>3970</v>
      </c>
      <c r="F32" s="16">
        <v>-0.31206549118387911</v>
      </c>
      <c r="G32" s="15">
        <v>2731.1</v>
      </c>
      <c r="H32" s="41">
        <v>0.50269122331661242</v>
      </c>
      <c r="I32" s="17">
        <v>4104</v>
      </c>
    </row>
    <row r="33" spans="1:9">
      <c r="A33" s="56" t="s">
        <v>585</v>
      </c>
      <c r="B33" s="29" t="s">
        <v>586</v>
      </c>
      <c r="C33" s="15">
        <v>0</v>
      </c>
      <c r="D33" s="16" t="s">
        <v>555</v>
      </c>
      <c r="E33" s="15">
        <v>0</v>
      </c>
      <c r="F33" s="16" t="s">
        <v>555</v>
      </c>
      <c r="G33" s="15">
        <v>0</v>
      </c>
      <c r="H33" s="41" t="s">
        <v>555</v>
      </c>
      <c r="I33" s="17">
        <v>0</v>
      </c>
    </row>
    <row r="34" spans="1:9">
      <c r="A34" s="8" t="s">
        <v>587</v>
      </c>
      <c r="B34" s="29" t="s">
        <v>588</v>
      </c>
      <c r="C34" s="15">
        <v>5190.3999999999996</v>
      </c>
      <c r="D34" s="16">
        <v>1.6163686806411839</v>
      </c>
      <c r="E34" s="15">
        <v>13580</v>
      </c>
      <c r="F34" s="16">
        <v>-4.8100147275405063E-2</v>
      </c>
      <c r="G34" s="15">
        <v>12926.8</v>
      </c>
      <c r="H34" s="41">
        <v>0.44660704892162029</v>
      </c>
      <c r="I34" s="17">
        <v>18700</v>
      </c>
    </row>
    <row r="35" spans="1:9">
      <c r="A35" s="48" t="s">
        <v>589</v>
      </c>
      <c r="B35" s="49" t="s">
        <v>590</v>
      </c>
      <c r="C35" s="24">
        <v>9718.9</v>
      </c>
      <c r="D35" s="51">
        <v>0.80575991110105061</v>
      </c>
      <c r="E35" s="24">
        <v>17550</v>
      </c>
      <c r="F35" s="51">
        <v>-0.10781196581196584</v>
      </c>
      <c r="G35" s="24">
        <v>15657.9</v>
      </c>
      <c r="H35" s="243">
        <v>0.45638942642372227</v>
      </c>
      <c r="I35" s="26">
        <v>22804</v>
      </c>
    </row>
    <row r="36" spans="1:9">
      <c r="A36" s="8" t="s">
        <v>591</v>
      </c>
      <c r="B36" s="29" t="s">
        <v>592</v>
      </c>
      <c r="C36" s="15">
        <v>0</v>
      </c>
      <c r="D36" s="16" t="s">
        <v>555</v>
      </c>
      <c r="E36" s="15">
        <v>0</v>
      </c>
      <c r="F36" s="16" t="s">
        <v>555</v>
      </c>
      <c r="G36" s="15">
        <v>0</v>
      </c>
      <c r="H36" s="41" t="s">
        <v>555</v>
      </c>
      <c r="I36" s="17">
        <v>0</v>
      </c>
    </row>
    <row r="37" spans="1:9">
      <c r="A37" s="8" t="s">
        <v>593</v>
      </c>
      <c r="B37" s="29" t="s">
        <v>594</v>
      </c>
      <c r="C37" s="15">
        <v>1402.9</v>
      </c>
      <c r="D37" s="16">
        <v>5.7560054173497752</v>
      </c>
      <c r="E37" s="15">
        <v>9478</v>
      </c>
      <c r="F37" s="16">
        <v>0.41633255961173243</v>
      </c>
      <c r="G37" s="15">
        <v>13424</v>
      </c>
      <c r="H37" s="41">
        <v>-0.53084028605482714</v>
      </c>
      <c r="I37" s="17">
        <v>6298</v>
      </c>
    </row>
    <row r="38" spans="1:9">
      <c r="A38" s="48" t="s">
        <v>595</v>
      </c>
      <c r="B38" s="49" t="s">
        <v>596</v>
      </c>
      <c r="C38" s="24">
        <v>1402.9</v>
      </c>
      <c r="D38" s="51">
        <v>5.7560054173497752</v>
      </c>
      <c r="E38" s="24">
        <v>9478</v>
      </c>
      <c r="F38" s="51">
        <v>0.41633255961173243</v>
      </c>
      <c r="G38" s="24">
        <v>13424</v>
      </c>
      <c r="H38" s="243">
        <v>-0.53084028605482714</v>
      </c>
      <c r="I38" s="26">
        <v>6298</v>
      </c>
    </row>
    <row r="39" spans="1:9">
      <c r="A39" s="36" t="s">
        <v>597</v>
      </c>
      <c r="B39" s="37" t="s">
        <v>3</v>
      </c>
      <c r="C39" s="38">
        <v>8316</v>
      </c>
      <c r="D39" s="39">
        <v>-2.9341029341029341E-2</v>
      </c>
      <c r="E39" s="38">
        <v>8072</v>
      </c>
      <c r="F39" s="39">
        <v>-0.72325322101090195</v>
      </c>
      <c r="G39" s="38">
        <v>2233.8999999999996</v>
      </c>
      <c r="H39" s="246">
        <v>6.3888714803706534</v>
      </c>
      <c r="I39" s="40">
        <v>16506</v>
      </c>
    </row>
    <row r="40" spans="1:9">
      <c r="A40" s="112" t="s">
        <v>0</v>
      </c>
      <c r="B40" s="29" t="s">
        <v>85</v>
      </c>
      <c r="C40" s="15">
        <v>5765.5000000000291</v>
      </c>
      <c r="D40" s="16">
        <v>-1.6109270661694512</v>
      </c>
      <c r="E40" s="15">
        <v>-3522.2999999999884</v>
      </c>
      <c r="F40" s="16">
        <v>-4.3876160463333864</v>
      </c>
      <c r="G40" s="15">
        <v>11932.200000000046</v>
      </c>
      <c r="H40" s="41">
        <v>-1.1890933775833441</v>
      </c>
      <c r="I40" s="17">
        <v>-2256.2999999999884</v>
      </c>
    </row>
    <row r="41" spans="1:9">
      <c r="A41" s="112" t="s">
        <v>0</v>
      </c>
      <c r="B41" s="29" t="s">
        <v>598</v>
      </c>
      <c r="C41" s="15">
        <v>-2550.4999999999709</v>
      </c>
      <c r="D41" s="16">
        <v>3.5458929621643289</v>
      </c>
      <c r="E41" s="15">
        <v>-11594.299999999988</v>
      </c>
      <c r="F41" s="16">
        <v>-1.836471369552285</v>
      </c>
      <c r="G41" s="15">
        <v>9698.3000000000466</v>
      </c>
      <c r="H41" s="41">
        <v>-2.934596785003547</v>
      </c>
      <c r="I41" s="17">
        <v>-18762.299999999988</v>
      </c>
    </row>
    <row r="42" spans="1:9">
      <c r="A42" s="121" t="s">
        <v>0</v>
      </c>
      <c r="B42" s="31" t="s">
        <v>599</v>
      </c>
      <c r="C42" s="20">
        <v>145084.39999999997</v>
      </c>
      <c r="D42" s="111">
        <v>5.9805878509336809E-2</v>
      </c>
      <c r="E42" s="20">
        <v>153761.29999999999</v>
      </c>
      <c r="F42" s="111">
        <v>-1.5630721124236226E-2</v>
      </c>
      <c r="G42" s="20">
        <v>151357.89999999997</v>
      </c>
      <c r="H42" s="247">
        <v>4.4404025161554332E-2</v>
      </c>
      <c r="I42" s="21">
        <v>158078.79999999999</v>
      </c>
    </row>
    <row r="43" spans="1:9">
      <c r="A43" s="121">
        <v>0</v>
      </c>
      <c r="B43" s="31" t="s">
        <v>5</v>
      </c>
      <c r="C43" s="60">
        <v>0.69330206830207175</v>
      </c>
      <c r="D43" s="122">
        <v>0</v>
      </c>
      <c r="E43" s="60" t="s">
        <v>601</v>
      </c>
      <c r="F43" s="167">
        <v>0</v>
      </c>
      <c r="G43" s="60">
        <v>5.3414208335198747</v>
      </c>
      <c r="H43" s="167">
        <v>0</v>
      </c>
      <c r="I43" s="168" t="s">
        <v>601</v>
      </c>
    </row>
  </sheetData>
  <phoneticPr fontId="7" type="noConversion"/>
  <pageMargins left="0.23622047244094491" right="0.23622047244094491" top="0.74803149606299213" bottom="0.74803149606299213" header="0.31496062992125984" footer="0.31496062992125984"/>
  <pageSetup paperSize="9" orientation="landscape" r:id="rId1"/>
  <headerFooter alignWithMargins="0">
    <oddHeader>&amp;LFachgruppe für kantonale Finanzfragen (FkF)
Groupe d'études pour les finances cantonales
&amp;CKanton VD&amp;RZürich, 11.05.2015</oddHeader>
    <oddFooter>&amp;L&amp;F / &amp;A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1">
    <tabColor rgb="FF00B050"/>
  </sheetPr>
  <dimension ref="A1:AJ186"/>
  <sheetViews>
    <sheetView zoomScale="115" zoomScaleNormal="115" workbookViewId="0">
      <selection activeCell="G10" sqref="G10"/>
    </sheetView>
  </sheetViews>
  <sheetFormatPr baseColWidth="10" defaultColWidth="11.42578125" defaultRowHeight="12.75"/>
  <cols>
    <col min="1" max="1" width="17.140625" style="470" customWidth="1"/>
    <col min="2" max="2" width="4.85546875" style="470" customWidth="1"/>
    <col min="3" max="3" width="44.7109375" style="470" customWidth="1"/>
    <col min="4" max="4" width="11.42578125" style="470" customWidth="1"/>
    <col min="5" max="5" width="11.42578125" style="470"/>
    <col min="6" max="6" width="11.42578125" style="470" customWidth="1"/>
    <col min="7" max="16384" width="11.42578125" style="470"/>
  </cols>
  <sheetData>
    <row r="1" spans="1:36" s="642" customFormat="1" ht="18" customHeight="1">
      <c r="A1" s="647" t="s">
        <v>258</v>
      </c>
      <c r="B1" s="646" t="s">
        <v>665</v>
      </c>
      <c r="C1" s="645" t="s">
        <v>666</v>
      </c>
      <c r="D1" s="643" t="s">
        <v>255</v>
      </c>
      <c r="E1" s="644" t="s">
        <v>254</v>
      </c>
      <c r="F1" s="643" t="s">
        <v>255</v>
      </c>
      <c r="G1" s="644" t="s">
        <v>254</v>
      </c>
      <c r="H1" s="608"/>
      <c r="I1" s="608"/>
      <c r="J1" s="608"/>
      <c r="K1" s="608"/>
      <c r="L1" s="608"/>
      <c r="M1" s="608"/>
      <c r="N1" s="608"/>
      <c r="O1" s="608"/>
      <c r="P1" s="608"/>
      <c r="Q1" s="608"/>
      <c r="R1" s="608"/>
      <c r="S1" s="608"/>
      <c r="T1" s="608"/>
      <c r="U1" s="608"/>
      <c r="V1" s="608"/>
      <c r="W1" s="608"/>
      <c r="X1" s="608"/>
      <c r="Y1" s="608"/>
      <c r="Z1" s="608"/>
      <c r="AA1" s="608"/>
      <c r="AB1" s="608"/>
      <c r="AC1" s="608"/>
      <c r="AD1" s="608"/>
      <c r="AE1" s="608"/>
      <c r="AF1" s="608"/>
      <c r="AG1" s="608"/>
      <c r="AH1" s="608"/>
      <c r="AI1" s="608"/>
      <c r="AJ1" s="608"/>
    </row>
    <row r="2" spans="1:36" s="636" customFormat="1" ht="15" customHeight="1">
      <c r="A2" s="641"/>
      <c r="B2" s="640"/>
      <c r="C2" s="639" t="s">
        <v>253</v>
      </c>
      <c r="D2" s="637">
        <v>2013</v>
      </c>
      <c r="E2" s="638">
        <v>2014</v>
      </c>
      <c r="F2" s="637">
        <v>2014</v>
      </c>
      <c r="G2" s="638">
        <v>2015</v>
      </c>
    </row>
    <row r="3" spans="1:36" ht="15" customHeight="1">
      <c r="A3" s="949" t="s">
        <v>252</v>
      </c>
      <c r="B3" s="950"/>
      <c r="C3" s="950"/>
      <c r="E3" s="635"/>
      <c r="G3" s="635"/>
    </row>
    <row r="4" spans="1:36" s="480" customFormat="1" ht="12.75" customHeight="1">
      <c r="A4" s="634">
        <v>30</v>
      </c>
      <c r="B4" s="633"/>
      <c r="C4" s="632" t="s">
        <v>250</v>
      </c>
      <c r="D4" s="411">
        <v>0</v>
      </c>
      <c r="E4" s="321">
        <v>0</v>
      </c>
      <c r="F4" s="411">
        <v>0</v>
      </c>
      <c r="G4" s="453">
        <f>22578.5</f>
        <v>22578.5</v>
      </c>
    </row>
    <row r="5" spans="1:36" s="480" customFormat="1" ht="12.75" customHeight="1">
      <c r="A5" s="591">
        <v>31</v>
      </c>
      <c r="B5" s="587"/>
      <c r="C5" s="585" t="s">
        <v>249</v>
      </c>
      <c r="D5" s="362">
        <v>0</v>
      </c>
      <c r="E5" s="321">
        <v>0</v>
      </c>
      <c r="F5" s="362">
        <v>0</v>
      </c>
      <c r="G5" s="631">
        <v>12232.7</v>
      </c>
    </row>
    <row r="6" spans="1:36" s="480" customFormat="1" ht="12.75" customHeight="1">
      <c r="A6" s="630" t="s">
        <v>248</v>
      </c>
      <c r="B6" s="586"/>
      <c r="C6" s="616" t="s">
        <v>247</v>
      </c>
      <c r="D6" s="362">
        <v>0</v>
      </c>
      <c r="E6" s="321">
        <v>0</v>
      </c>
      <c r="F6" s="362">
        <v>0</v>
      </c>
      <c r="G6" s="631">
        <v>2557</v>
      </c>
    </row>
    <row r="7" spans="1:36" s="480" customFormat="1" ht="12.75" customHeight="1">
      <c r="A7" s="630" t="s">
        <v>246</v>
      </c>
      <c r="B7" s="586"/>
      <c r="C7" s="616" t="s">
        <v>245</v>
      </c>
      <c r="D7" s="362">
        <v>0</v>
      </c>
      <c r="E7" s="321">
        <v>0</v>
      </c>
      <c r="F7" s="362">
        <v>0</v>
      </c>
      <c r="G7" s="361">
        <v>0</v>
      </c>
    </row>
    <row r="8" spans="1:36" s="480" customFormat="1" ht="12.75" customHeight="1">
      <c r="A8" s="593">
        <v>330</v>
      </c>
      <c r="B8" s="587"/>
      <c r="C8" s="585" t="s">
        <v>244</v>
      </c>
      <c r="D8" s="362">
        <v>0</v>
      </c>
      <c r="E8" s="316">
        <v>0</v>
      </c>
      <c r="F8" s="362">
        <v>0</v>
      </c>
      <c r="G8" s="361">
        <v>2593</v>
      </c>
    </row>
    <row r="9" spans="1:36" s="480" customFormat="1" ht="12.75" customHeight="1">
      <c r="A9" s="593">
        <v>332</v>
      </c>
      <c r="B9" s="587"/>
      <c r="C9" s="585" t="s">
        <v>243</v>
      </c>
      <c r="D9" s="362">
        <v>0</v>
      </c>
      <c r="E9" s="316">
        <v>0</v>
      </c>
      <c r="F9" s="362">
        <v>0</v>
      </c>
      <c r="G9" s="361">
        <v>0</v>
      </c>
    </row>
    <row r="10" spans="1:36" s="480" customFormat="1" ht="12.75" customHeight="1">
      <c r="A10" s="593">
        <v>339</v>
      </c>
      <c r="B10" s="587"/>
      <c r="C10" s="585" t="s">
        <v>242</v>
      </c>
      <c r="D10" s="362">
        <v>0</v>
      </c>
      <c r="E10" s="316">
        <v>0</v>
      </c>
      <c r="F10" s="362">
        <v>0</v>
      </c>
      <c r="G10" s="361">
        <v>0</v>
      </c>
    </row>
    <row r="11" spans="1:36" s="480" customFormat="1" ht="12.75" customHeight="1">
      <c r="A11" s="591">
        <v>350</v>
      </c>
      <c r="B11" s="587"/>
      <c r="C11" s="585" t="s">
        <v>241</v>
      </c>
      <c r="D11" s="362">
        <v>0</v>
      </c>
      <c r="E11" s="316">
        <v>0</v>
      </c>
      <c r="F11" s="362">
        <v>0</v>
      </c>
      <c r="G11" s="361">
        <v>0</v>
      </c>
    </row>
    <row r="12" spans="1:36" s="579" customFormat="1">
      <c r="A12" s="597">
        <v>351</v>
      </c>
      <c r="B12" s="596"/>
      <c r="C12" s="589" t="s">
        <v>240</v>
      </c>
      <c r="D12" s="362">
        <v>0</v>
      </c>
      <c r="E12" s="625">
        <v>0</v>
      </c>
      <c r="F12" s="362">
        <v>0</v>
      </c>
      <c r="G12" s="361">
        <v>637.5</v>
      </c>
    </row>
    <row r="13" spans="1:36" s="480" customFormat="1" ht="12.75" customHeight="1">
      <c r="A13" s="591">
        <v>36</v>
      </c>
      <c r="B13" s="587"/>
      <c r="C13" s="585" t="s">
        <v>239</v>
      </c>
      <c r="D13" s="362">
        <v>0</v>
      </c>
      <c r="E13" s="625">
        <v>0</v>
      </c>
      <c r="F13" s="362">
        <v>0</v>
      </c>
      <c r="G13" s="361">
        <v>77345.600000000006</v>
      </c>
    </row>
    <row r="14" spans="1:36" s="480" customFormat="1">
      <c r="A14" s="629" t="s">
        <v>238</v>
      </c>
      <c r="B14" s="587"/>
      <c r="C14" s="627" t="s">
        <v>237</v>
      </c>
      <c r="D14" s="439">
        <v>0</v>
      </c>
      <c r="E14" s="625">
        <v>0</v>
      </c>
      <c r="F14" s="439">
        <v>0</v>
      </c>
      <c r="G14" s="623">
        <v>25944.400000000001</v>
      </c>
    </row>
    <row r="15" spans="1:36" s="480" customFormat="1">
      <c r="A15" s="629" t="s">
        <v>236</v>
      </c>
      <c r="B15" s="587"/>
      <c r="C15" s="627" t="s">
        <v>235</v>
      </c>
      <c r="D15" s="439">
        <v>0</v>
      </c>
      <c r="E15" s="625">
        <v>0</v>
      </c>
      <c r="F15" s="439">
        <v>0</v>
      </c>
      <c r="G15" s="623">
        <v>8603</v>
      </c>
    </row>
    <row r="16" spans="1:36" s="626" customFormat="1" ht="26.25" customHeight="1">
      <c r="A16" s="629" t="s">
        <v>234</v>
      </c>
      <c r="B16" s="628"/>
      <c r="C16" s="627" t="s">
        <v>233</v>
      </c>
      <c r="D16" s="439">
        <v>0</v>
      </c>
      <c r="E16" s="625">
        <v>0</v>
      </c>
      <c r="F16" s="439">
        <v>0</v>
      </c>
      <c r="G16" s="443">
        <v>0</v>
      </c>
    </row>
    <row r="17" spans="1:7" s="622" customFormat="1">
      <c r="A17" s="591">
        <v>37</v>
      </c>
      <c r="B17" s="587"/>
      <c r="C17" s="585" t="s">
        <v>211</v>
      </c>
      <c r="D17" s="439">
        <v>0</v>
      </c>
      <c r="E17" s="625">
        <v>0</v>
      </c>
      <c r="F17" s="439">
        <v>0</v>
      </c>
      <c r="G17" s="361">
        <v>22996</v>
      </c>
    </row>
    <row r="18" spans="1:7" s="622" customFormat="1">
      <c r="A18" s="593" t="s">
        <v>232</v>
      </c>
      <c r="B18" s="587"/>
      <c r="C18" s="585" t="s">
        <v>231</v>
      </c>
      <c r="D18" s="439">
        <v>0</v>
      </c>
      <c r="E18" s="624">
        <v>0</v>
      </c>
      <c r="F18" s="439">
        <v>0</v>
      </c>
      <c r="G18" s="623">
        <v>0</v>
      </c>
    </row>
    <row r="19" spans="1:7" s="622" customFormat="1">
      <c r="A19" s="593" t="s">
        <v>230</v>
      </c>
      <c r="B19" s="587"/>
      <c r="C19" s="585" t="s">
        <v>229</v>
      </c>
      <c r="D19" s="439">
        <v>0</v>
      </c>
      <c r="E19" s="624">
        <v>0</v>
      </c>
      <c r="F19" s="439">
        <v>0</v>
      </c>
      <c r="G19" s="623">
        <v>0</v>
      </c>
    </row>
    <row r="20" spans="1:7" s="480" customFormat="1" ht="12.75" customHeight="1">
      <c r="A20" s="615">
        <v>39</v>
      </c>
      <c r="B20" s="614"/>
      <c r="C20" s="583" t="s">
        <v>228</v>
      </c>
      <c r="D20" s="355"/>
      <c r="E20" s="372">
        <v>0</v>
      </c>
      <c r="F20" s="355">
        <v>0</v>
      </c>
      <c r="G20" s="354">
        <v>7573</v>
      </c>
    </row>
    <row r="21" spans="1:7" ht="12.75" customHeight="1">
      <c r="A21" s="578"/>
      <c r="B21" s="578"/>
      <c r="C21" s="576" t="s">
        <v>227</v>
      </c>
      <c r="D21" s="380">
        <f>D4+D5+SUM(D8:D13)+D17</f>
        <v>0</v>
      </c>
      <c r="E21" s="380">
        <f>E4+E5+SUM(E8:E13)+E17</f>
        <v>0</v>
      </c>
      <c r="F21" s="380">
        <f>F4+F5+SUM(F8:F13)+F17</f>
        <v>0</v>
      </c>
      <c r="G21" s="380">
        <f>G4+G5+SUM(G8:G13)+G17</f>
        <v>138383.29999999999</v>
      </c>
    </row>
    <row r="22" spans="1:7" s="480" customFormat="1" ht="12.75" customHeight="1">
      <c r="A22" s="593" t="s">
        <v>226</v>
      </c>
      <c r="B22" s="587"/>
      <c r="C22" s="585" t="s">
        <v>225</v>
      </c>
      <c r="D22" s="318">
        <v>0</v>
      </c>
      <c r="E22" s="318">
        <v>0</v>
      </c>
      <c r="F22" s="343">
        <v>0</v>
      </c>
      <c r="G22" s="343">
        <v>34696</v>
      </c>
    </row>
    <row r="23" spans="1:7" s="480" customFormat="1" ht="12.75" customHeight="1">
      <c r="A23" s="593" t="s">
        <v>224</v>
      </c>
      <c r="B23" s="587"/>
      <c r="C23" s="585" t="s">
        <v>223</v>
      </c>
      <c r="D23" s="318">
        <v>0</v>
      </c>
      <c r="E23" s="318">
        <v>0</v>
      </c>
      <c r="F23" s="343">
        <v>0</v>
      </c>
      <c r="G23" s="343">
        <v>9700</v>
      </c>
    </row>
    <row r="24" spans="1:7" s="621" customFormat="1" ht="12.75" customHeight="1">
      <c r="A24" s="591">
        <v>41</v>
      </c>
      <c r="B24" s="587"/>
      <c r="C24" s="585" t="s">
        <v>222</v>
      </c>
      <c r="D24" s="318">
        <v>0</v>
      </c>
      <c r="E24" s="318">
        <v>0</v>
      </c>
      <c r="F24" s="343">
        <v>0</v>
      </c>
      <c r="G24" s="343">
        <v>2312</v>
      </c>
    </row>
    <row r="25" spans="1:7" s="480" customFormat="1" ht="12.75" customHeight="1">
      <c r="A25" s="620">
        <v>42</v>
      </c>
      <c r="B25" s="619"/>
      <c r="C25" s="585" t="s">
        <v>221</v>
      </c>
      <c r="D25" s="318">
        <v>0</v>
      </c>
      <c r="E25" s="318">
        <v>0</v>
      </c>
      <c r="F25" s="317">
        <v>0</v>
      </c>
      <c r="G25" s="317">
        <f>8492</f>
        <v>8492</v>
      </c>
    </row>
    <row r="26" spans="1:7" s="618" customFormat="1" ht="12.75" customHeight="1">
      <c r="A26" s="597">
        <v>430</v>
      </c>
      <c r="B26" s="587"/>
      <c r="C26" s="585" t="s">
        <v>220</v>
      </c>
      <c r="D26" s="318">
        <v>0</v>
      </c>
      <c r="E26" s="318">
        <v>0</v>
      </c>
      <c r="F26" s="431">
        <v>0</v>
      </c>
      <c r="G26" s="431">
        <v>0</v>
      </c>
    </row>
    <row r="27" spans="1:7" s="618" customFormat="1" ht="12.75" customHeight="1">
      <c r="A27" s="597">
        <v>431</v>
      </c>
      <c r="B27" s="587"/>
      <c r="C27" s="585" t="s">
        <v>219</v>
      </c>
      <c r="D27" s="318">
        <v>0</v>
      </c>
      <c r="E27" s="318">
        <v>0</v>
      </c>
      <c r="F27" s="431">
        <v>0</v>
      </c>
      <c r="G27" s="431">
        <v>0</v>
      </c>
    </row>
    <row r="28" spans="1:7" s="618" customFormat="1" ht="12.75" customHeight="1">
      <c r="A28" s="597">
        <v>432</v>
      </c>
      <c r="B28" s="587"/>
      <c r="C28" s="585" t="s">
        <v>218</v>
      </c>
      <c r="D28" s="318">
        <v>0</v>
      </c>
      <c r="E28" s="318">
        <v>0</v>
      </c>
      <c r="F28" s="431">
        <v>0</v>
      </c>
      <c r="G28" s="431">
        <v>0</v>
      </c>
    </row>
    <row r="29" spans="1:7" s="618" customFormat="1" ht="12.75" customHeight="1">
      <c r="A29" s="597">
        <v>439</v>
      </c>
      <c r="B29" s="587"/>
      <c r="C29" s="585" t="s">
        <v>217</v>
      </c>
      <c r="D29" s="318">
        <v>0</v>
      </c>
      <c r="E29" s="318">
        <v>0</v>
      </c>
      <c r="F29" s="431">
        <v>0</v>
      </c>
      <c r="G29" s="431">
        <v>10</v>
      </c>
    </row>
    <row r="30" spans="1:7" s="480" customFormat="1" ht="25.5">
      <c r="A30" s="597">
        <v>450</v>
      </c>
      <c r="B30" s="596"/>
      <c r="C30" s="589" t="s">
        <v>216</v>
      </c>
      <c r="D30" s="318">
        <v>0</v>
      </c>
      <c r="E30" s="318">
        <v>0</v>
      </c>
      <c r="F30" s="362">
        <v>0</v>
      </c>
      <c r="G30" s="362">
        <v>0</v>
      </c>
    </row>
    <row r="31" spans="1:7" s="579" customFormat="1" ht="25.5">
      <c r="A31" s="597">
        <v>451</v>
      </c>
      <c r="B31" s="596"/>
      <c r="C31" s="589" t="s">
        <v>215</v>
      </c>
      <c r="D31" s="318">
        <v>0</v>
      </c>
      <c r="E31" s="318">
        <v>0</v>
      </c>
      <c r="F31" s="311">
        <v>0</v>
      </c>
      <c r="G31" s="311">
        <v>892</v>
      </c>
    </row>
    <row r="32" spans="1:7" s="480" customFormat="1" ht="12.75" customHeight="1">
      <c r="A32" s="591">
        <v>46</v>
      </c>
      <c r="B32" s="587"/>
      <c r="C32" s="585" t="s">
        <v>214</v>
      </c>
      <c r="D32" s="318">
        <v>0</v>
      </c>
      <c r="E32" s="318">
        <v>0</v>
      </c>
      <c r="F32" s="317">
        <v>0</v>
      </c>
      <c r="G32" s="317">
        <v>42762</v>
      </c>
    </row>
    <row r="33" spans="1:7" s="579" customFormat="1" ht="12.75" customHeight="1">
      <c r="A33" s="617" t="s">
        <v>213</v>
      </c>
      <c r="B33" s="586"/>
      <c r="C33" s="616" t="s">
        <v>212</v>
      </c>
      <c r="D33" s="318">
        <v>0</v>
      </c>
      <c r="E33" s="318">
        <v>0</v>
      </c>
      <c r="F33" s="317">
        <v>0</v>
      </c>
      <c r="G33" s="317">
        <v>0</v>
      </c>
    </row>
    <row r="34" spans="1:7" s="480" customFormat="1" ht="15" customHeight="1">
      <c r="A34" s="591">
        <v>47</v>
      </c>
      <c r="B34" s="587"/>
      <c r="C34" s="585" t="s">
        <v>211</v>
      </c>
      <c r="D34" s="318">
        <v>0</v>
      </c>
      <c r="E34" s="318">
        <v>0</v>
      </c>
      <c r="F34" s="317">
        <v>0</v>
      </c>
      <c r="G34" s="317">
        <v>22996</v>
      </c>
    </row>
    <row r="35" spans="1:7" s="480" customFormat="1" ht="15" customHeight="1">
      <c r="A35" s="615">
        <v>49</v>
      </c>
      <c r="B35" s="614"/>
      <c r="C35" s="583" t="s">
        <v>210</v>
      </c>
      <c r="D35" s="318">
        <v>0</v>
      </c>
      <c r="E35" s="318">
        <v>0</v>
      </c>
      <c r="F35" s="355">
        <v>0</v>
      </c>
      <c r="G35" s="355">
        <v>7462</v>
      </c>
    </row>
    <row r="36" spans="1:7" s="613" customFormat="1" ht="13.5" customHeight="1">
      <c r="A36" s="612"/>
      <c r="B36" s="611"/>
      <c r="C36" s="610" t="s">
        <v>209</v>
      </c>
      <c r="D36" s="609">
        <f>D22+D23+D24+D25+D26+D27+D28+D29+D30+D31+D32+D34</f>
        <v>0</v>
      </c>
      <c r="E36" s="609">
        <f>E22+E23+E24+E25+E26+E27+E28+E29+E30+E31+E32+E34</f>
        <v>0</v>
      </c>
      <c r="F36" s="609">
        <f>F22+F23+F24+F25+F26+F27+F28+F29+F30+F31+F32+F34</f>
        <v>0</v>
      </c>
      <c r="G36" s="609">
        <f>G22+G23+G24+G25+G26+G27+G28+G29+G30+G31+G32+G34</f>
        <v>121860</v>
      </c>
    </row>
    <row r="37" spans="1:7" s="608" customFormat="1" ht="15" customHeight="1">
      <c r="A37" s="612"/>
      <c r="B37" s="611"/>
      <c r="C37" s="610" t="s">
        <v>208</v>
      </c>
      <c r="D37" s="609">
        <f>D36-D21</f>
        <v>0</v>
      </c>
      <c r="E37" s="609">
        <f>E36-E21</f>
        <v>0</v>
      </c>
      <c r="F37" s="609">
        <f>F36-F21</f>
        <v>0</v>
      </c>
      <c r="G37" s="609">
        <f>G36-G21</f>
        <v>-16523.299999999988</v>
      </c>
    </row>
    <row r="38" spans="1:7" s="579" customFormat="1" ht="15" customHeight="1">
      <c r="A38" s="593">
        <v>340</v>
      </c>
      <c r="B38" s="587"/>
      <c r="C38" s="585" t="s">
        <v>207</v>
      </c>
      <c r="D38" s="364">
        <v>0</v>
      </c>
      <c r="E38" s="364">
        <v>0</v>
      </c>
      <c r="F38" s="362">
        <v>0</v>
      </c>
      <c r="G38" s="316">
        <v>13</v>
      </c>
    </row>
    <row r="39" spans="1:7" s="579" customFormat="1" ht="15" customHeight="1">
      <c r="A39" s="593">
        <v>341</v>
      </c>
      <c r="B39" s="587"/>
      <c r="C39" s="585" t="s">
        <v>206</v>
      </c>
      <c r="D39" s="364">
        <v>0</v>
      </c>
      <c r="E39" s="364">
        <v>0</v>
      </c>
      <c r="F39" s="317">
        <v>0</v>
      </c>
      <c r="G39" s="316">
        <v>0</v>
      </c>
    </row>
    <row r="40" spans="1:7" s="579" customFormat="1" ht="15" customHeight="1">
      <c r="A40" s="593">
        <v>342</v>
      </c>
      <c r="B40" s="587"/>
      <c r="C40" s="585" t="s">
        <v>205</v>
      </c>
      <c r="D40" s="364">
        <v>0</v>
      </c>
      <c r="E40" s="364">
        <v>0</v>
      </c>
      <c r="F40" s="317">
        <v>0</v>
      </c>
      <c r="G40" s="316">
        <v>0</v>
      </c>
    </row>
    <row r="41" spans="1:7" s="579" customFormat="1" ht="15" customHeight="1">
      <c r="A41" s="593">
        <v>343</v>
      </c>
      <c r="B41" s="587"/>
      <c r="C41" s="585" t="s">
        <v>204</v>
      </c>
      <c r="D41" s="364">
        <v>0</v>
      </c>
      <c r="E41" s="364">
        <v>0</v>
      </c>
      <c r="F41" s="317">
        <v>0</v>
      </c>
      <c r="G41" s="316">
        <v>64</v>
      </c>
    </row>
    <row r="42" spans="1:7" s="579" customFormat="1" ht="15" customHeight="1">
      <c r="A42" s="593">
        <v>344</v>
      </c>
      <c r="B42" s="587"/>
      <c r="C42" s="585" t="s">
        <v>198</v>
      </c>
      <c r="D42" s="364">
        <v>0</v>
      </c>
      <c r="E42" s="364">
        <v>0</v>
      </c>
      <c r="F42" s="317">
        <v>0</v>
      </c>
      <c r="G42" s="316">
        <v>0</v>
      </c>
    </row>
    <row r="43" spans="1:7" s="579" customFormat="1" ht="15" customHeight="1">
      <c r="A43" s="593">
        <v>349</v>
      </c>
      <c r="B43" s="587"/>
      <c r="C43" s="585" t="s">
        <v>203</v>
      </c>
      <c r="D43" s="364">
        <v>0</v>
      </c>
      <c r="E43" s="364">
        <v>0</v>
      </c>
      <c r="F43" s="317">
        <v>0</v>
      </c>
      <c r="G43" s="316">
        <v>0</v>
      </c>
    </row>
    <row r="44" spans="1:7" s="480" customFormat="1" ht="15" customHeight="1">
      <c r="A44" s="591">
        <v>440</v>
      </c>
      <c r="B44" s="587"/>
      <c r="C44" s="585" t="s">
        <v>202</v>
      </c>
      <c r="D44" s="364">
        <v>0</v>
      </c>
      <c r="E44" s="364">
        <v>0</v>
      </c>
      <c r="F44" s="362">
        <v>0</v>
      </c>
      <c r="G44" s="316">
        <v>606</v>
      </c>
    </row>
    <row r="45" spans="1:7" s="480" customFormat="1" ht="15" customHeight="1">
      <c r="A45" s="591">
        <v>441</v>
      </c>
      <c r="B45" s="587"/>
      <c r="C45" s="585" t="s">
        <v>201</v>
      </c>
      <c r="D45" s="364">
        <v>0</v>
      </c>
      <c r="E45" s="364">
        <v>0</v>
      </c>
      <c r="F45" s="362">
        <v>0</v>
      </c>
      <c r="G45" s="316">
        <v>0</v>
      </c>
    </row>
    <row r="46" spans="1:7" s="480" customFormat="1" ht="15" customHeight="1">
      <c r="A46" s="591">
        <v>442</v>
      </c>
      <c r="B46" s="587"/>
      <c r="C46" s="585" t="s">
        <v>200</v>
      </c>
      <c r="D46" s="364">
        <v>0</v>
      </c>
      <c r="E46" s="364">
        <v>0</v>
      </c>
      <c r="F46" s="362">
        <v>0</v>
      </c>
      <c r="G46" s="316">
        <v>0</v>
      </c>
    </row>
    <row r="47" spans="1:7" s="480" customFormat="1" ht="15" customHeight="1">
      <c r="A47" s="591">
        <v>443</v>
      </c>
      <c r="B47" s="587"/>
      <c r="C47" s="585" t="s">
        <v>199</v>
      </c>
      <c r="D47" s="364">
        <v>0</v>
      </c>
      <c r="E47" s="364">
        <v>0</v>
      </c>
      <c r="F47" s="362">
        <v>0</v>
      </c>
      <c r="G47" s="316">
        <v>245</v>
      </c>
    </row>
    <row r="48" spans="1:7" s="480" customFormat="1" ht="15" customHeight="1">
      <c r="A48" s="591">
        <v>444</v>
      </c>
      <c r="B48" s="587"/>
      <c r="C48" s="585" t="s">
        <v>198</v>
      </c>
      <c r="D48" s="364">
        <v>0</v>
      </c>
      <c r="E48" s="364">
        <v>0</v>
      </c>
      <c r="F48" s="362">
        <v>0</v>
      </c>
      <c r="G48" s="316">
        <v>0</v>
      </c>
    </row>
    <row r="49" spans="1:7" s="480" customFormat="1" ht="15" customHeight="1">
      <c r="A49" s="591">
        <v>445</v>
      </c>
      <c r="B49" s="587"/>
      <c r="C49" s="585" t="s">
        <v>197</v>
      </c>
      <c r="D49" s="364">
        <v>0</v>
      </c>
      <c r="E49" s="364">
        <v>0</v>
      </c>
      <c r="F49" s="362">
        <v>0</v>
      </c>
      <c r="G49" s="316">
        <v>0</v>
      </c>
    </row>
    <row r="50" spans="1:7" s="480" customFormat="1" ht="15" customHeight="1">
      <c r="A50" s="591">
        <v>446</v>
      </c>
      <c r="B50" s="587"/>
      <c r="C50" s="585" t="s">
        <v>196</v>
      </c>
      <c r="D50" s="364">
        <v>0</v>
      </c>
      <c r="E50" s="364">
        <v>0</v>
      </c>
      <c r="F50" s="362">
        <v>0</v>
      </c>
      <c r="G50" s="316">
        <v>7540</v>
      </c>
    </row>
    <row r="51" spans="1:7" s="480" customFormat="1" ht="15" customHeight="1">
      <c r="A51" s="591">
        <v>447</v>
      </c>
      <c r="B51" s="587"/>
      <c r="C51" s="585" t="s">
        <v>195</v>
      </c>
      <c r="D51" s="364">
        <v>0</v>
      </c>
      <c r="E51" s="364">
        <v>0</v>
      </c>
      <c r="F51" s="362">
        <v>0</v>
      </c>
      <c r="G51" s="316">
        <v>3455</v>
      </c>
    </row>
    <row r="52" spans="1:7" s="480" customFormat="1" ht="15" customHeight="1">
      <c r="A52" s="591">
        <v>448</v>
      </c>
      <c r="B52" s="587"/>
      <c r="C52" s="585" t="s">
        <v>194</v>
      </c>
      <c r="D52" s="364">
        <v>0</v>
      </c>
      <c r="E52" s="364">
        <v>0</v>
      </c>
      <c r="F52" s="362">
        <v>0</v>
      </c>
      <c r="G52" s="316">
        <v>16</v>
      </c>
    </row>
    <row r="53" spans="1:7" s="480" customFormat="1" ht="15" customHeight="1">
      <c r="A53" s="591">
        <v>449</v>
      </c>
      <c r="B53" s="587"/>
      <c r="C53" s="585" t="s">
        <v>193</v>
      </c>
      <c r="D53" s="364">
        <v>0</v>
      </c>
      <c r="E53" s="364">
        <v>0</v>
      </c>
      <c r="F53" s="362">
        <v>0</v>
      </c>
      <c r="G53" s="316">
        <v>0</v>
      </c>
    </row>
    <row r="54" spans="1:7" s="579" customFormat="1" ht="13.5" customHeight="1">
      <c r="A54" s="607" t="s">
        <v>192</v>
      </c>
      <c r="B54" s="580"/>
      <c r="C54" s="580" t="s">
        <v>191</v>
      </c>
      <c r="D54" s="364">
        <v>0</v>
      </c>
      <c r="E54" s="364">
        <v>0</v>
      </c>
      <c r="F54" s="418">
        <v>0</v>
      </c>
      <c r="G54" s="299">
        <v>0</v>
      </c>
    </row>
    <row r="55" spans="1:7" ht="15" customHeight="1">
      <c r="A55" s="606"/>
      <c r="B55" s="606"/>
      <c r="C55" s="576" t="s">
        <v>55</v>
      </c>
      <c r="D55" s="380">
        <f>SUM(D44:D53)-SUM(D38:D43)</f>
        <v>0</v>
      </c>
      <c r="E55" s="380">
        <f>SUM(E44:E53)-SUM(E38:E43)</f>
        <v>0</v>
      </c>
      <c r="F55" s="380">
        <f>SUM(F44:F53)-SUM(F38:F43)</f>
        <v>0</v>
      </c>
      <c r="G55" s="380">
        <f>SUM(G44:G53)-SUM(G38:G43)</f>
        <v>11785</v>
      </c>
    </row>
    <row r="56" spans="1:7" ht="14.25" customHeight="1">
      <c r="A56" s="606"/>
      <c r="B56" s="606"/>
      <c r="C56" s="576" t="s">
        <v>190</v>
      </c>
      <c r="D56" s="380">
        <f>D55+D37</f>
        <v>0</v>
      </c>
      <c r="E56" s="380">
        <f>E55+E37</f>
        <v>0</v>
      </c>
      <c r="F56" s="380">
        <f>F55+F37</f>
        <v>0</v>
      </c>
      <c r="G56" s="380">
        <f>G55+G37</f>
        <v>-4738.2999999999884</v>
      </c>
    </row>
    <row r="57" spans="1:7" s="480" customFormat="1" ht="15.75" customHeight="1">
      <c r="A57" s="605">
        <v>380</v>
      </c>
      <c r="B57" s="604"/>
      <c r="C57" s="603" t="s">
        <v>189</v>
      </c>
      <c r="D57" s="569">
        <v>0</v>
      </c>
      <c r="E57" s="569">
        <v>0</v>
      </c>
      <c r="F57" s="602">
        <v>0</v>
      </c>
      <c r="G57" s="601">
        <v>0</v>
      </c>
    </row>
    <row r="58" spans="1:7" s="480" customFormat="1" ht="15.75" customHeight="1">
      <c r="A58" s="605">
        <v>381</v>
      </c>
      <c r="B58" s="604"/>
      <c r="C58" s="603" t="s">
        <v>188</v>
      </c>
      <c r="D58" s="569">
        <v>0</v>
      </c>
      <c r="E58" s="569">
        <v>0</v>
      </c>
      <c r="F58" s="602">
        <v>0</v>
      </c>
      <c r="G58" s="601">
        <v>0</v>
      </c>
    </row>
    <row r="59" spans="1:7" s="579" customFormat="1" ht="25.5">
      <c r="A59" s="597">
        <v>383</v>
      </c>
      <c r="B59" s="596"/>
      <c r="C59" s="589" t="s">
        <v>187</v>
      </c>
      <c r="D59" s="569">
        <v>0</v>
      </c>
      <c r="E59" s="569">
        <v>0</v>
      </c>
      <c r="F59" s="409">
        <v>0</v>
      </c>
      <c r="G59" s="342">
        <v>0</v>
      </c>
    </row>
    <row r="60" spans="1:7" s="579" customFormat="1">
      <c r="A60" s="597">
        <v>3840</v>
      </c>
      <c r="B60" s="596"/>
      <c r="C60" s="589" t="s">
        <v>186</v>
      </c>
      <c r="D60" s="569">
        <v>0</v>
      </c>
      <c r="E60" s="569">
        <v>0</v>
      </c>
      <c r="F60" s="595">
        <v>0</v>
      </c>
      <c r="G60" s="594">
        <v>0</v>
      </c>
    </row>
    <row r="61" spans="1:7" s="579" customFormat="1">
      <c r="A61" s="597">
        <v>3841</v>
      </c>
      <c r="B61" s="596"/>
      <c r="C61" s="589" t="s">
        <v>185</v>
      </c>
      <c r="D61" s="569">
        <v>0</v>
      </c>
      <c r="E61" s="569">
        <v>0</v>
      </c>
      <c r="F61" s="595">
        <v>0</v>
      </c>
      <c r="G61" s="594">
        <v>0</v>
      </c>
    </row>
    <row r="62" spans="1:7" s="579" customFormat="1">
      <c r="A62" s="600">
        <v>386</v>
      </c>
      <c r="B62" s="599"/>
      <c r="C62" s="598" t="s">
        <v>184</v>
      </c>
      <c r="D62" s="569">
        <v>0</v>
      </c>
      <c r="E62" s="569">
        <v>0</v>
      </c>
      <c r="F62" s="595">
        <v>0</v>
      </c>
      <c r="G62" s="594">
        <v>0</v>
      </c>
    </row>
    <row r="63" spans="1:7" s="579" customFormat="1" ht="25.5">
      <c r="A63" s="597">
        <v>387</v>
      </c>
      <c r="B63" s="596"/>
      <c r="C63" s="589" t="s">
        <v>183</v>
      </c>
      <c r="D63" s="569">
        <v>0</v>
      </c>
      <c r="E63" s="569">
        <v>0</v>
      </c>
      <c r="F63" s="595">
        <v>0</v>
      </c>
      <c r="G63" s="594">
        <v>0</v>
      </c>
    </row>
    <row r="64" spans="1:7" s="579" customFormat="1">
      <c r="A64" s="593">
        <v>389</v>
      </c>
      <c r="B64" s="592"/>
      <c r="C64" s="585" t="s">
        <v>182</v>
      </c>
      <c r="D64" s="569">
        <v>0</v>
      </c>
      <c r="E64" s="569">
        <v>0</v>
      </c>
      <c r="F64" s="317">
        <v>0</v>
      </c>
      <c r="G64" s="316">
        <v>0</v>
      </c>
    </row>
    <row r="65" spans="1:7" s="480" customFormat="1">
      <c r="A65" s="591" t="s">
        <v>181</v>
      </c>
      <c r="B65" s="587"/>
      <c r="C65" s="585" t="s">
        <v>180</v>
      </c>
      <c r="D65" s="569">
        <v>0</v>
      </c>
      <c r="E65" s="569">
        <v>0</v>
      </c>
      <c r="F65" s="317">
        <v>0</v>
      </c>
      <c r="G65" s="316">
        <v>0</v>
      </c>
    </row>
    <row r="66" spans="1:7" s="588" customFormat="1">
      <c r="A66" s="584" t="s">
        <v>179</v>
      </c>
      <c r="B66" s="590"/>
      <c r="C66" s="589" t="s">
        <v>178</v>
      </c>
      <c r="D66" s="569">
        <v>0</v>
      </c>
      <c r="E66" s="569">
        <v>0</v>
      </c>
      <c r="F66" s="343">
        <v>0</v>
      </c>
      <c r="G66" s="342">
        <v>0</v>
      </c>
    </row>
    <row r="67" spans="1:7" s="480" customFormat="1">
      <c r="A67" s="584">
        <v>481</v>
      </c>
      <c r="B67" s="587"/>
      <c r="C67" s="585" t="s">
        <v>177</v>
      </c>
      <c r="D67" s="569">
        <v>0</v>
      </c>
      <c r="E67" s="569">
        <v>0</v>
      </c>
      <c r="F67" s="317">
        <v>0</v>
      </c>
      <c r="G67" s="316">
        <v>0</v>
      </c>
    </row>
    <row r="68" spans="1:7" s="480" customFormat="1">
      <c r="A68" s="584">
        <v>482</v>
      </c>
      <c r="B68" s="587"/>
      <c r="C68" s="585" t="s">
        <v>176</v>
      </c>
      <c r="D68" s="569">
        <v>0</v>
      </c>
      <c r="E68" s="569">
        <v>0</v>
      </c>
      <c r="F68" s="317">
        <v>0</v>
      </c>
      <c r="G68" s="316">
        <v>0</v>
      </c>
    </row>
    <row r="69" spans="1:7" s="480" customFormat="1">
      <c r="A69" s="584">
        <v>483</v>
      </c>
      <c r="B69" s="587"/>
      <c r="C69" s="585" t="s">
        <v>175</v>
      </c>
      <c r="D69" s="569">
        <v>0</v>
      </c>
      <c r="E69" s="569">
        <v>0</v>
      </c>
      <c r="F69" s="317">
        <v>0</v>
      </c>
      <c r="G69" s="316">
        <v>0</v>
      </c>
    </row>
    <row r="70" spans="1:7" s="480" customFormat="1">
      <c r="A70" s="584">
        <v>484</v>
      </c>
      <c r="B70" s="587"/>
      <c r="C70" s="585" t="s">
        <v>174</v>
      </c>
      <c r="D70" s="569">
        <v>0</v>
      </c>
      <c r="E70" s="569">
        <v>0</v>
      </c>
      <c r="F70" s="317">
        <v>0</v>
      </c>
      <c r="G70" s="316">
        <v>0</v>
      </c>
    </row>
    <row r="71" spans="1:7" s="480" customFormat="1">
      <c r="A71" s="584">
        <v>485</v>
      </c>
      <c r="B71" s="587"/>
      <c r="C71" s="585" t="s">
        <v>173</v>
      </c>
      <c r="D71" s="569">
        <v>0</v>
      </c>
      <c r="E71" s="569">
        <v>0</v>
      </c>
      <c r="F71" s="317">
        <v>0</v>
      </c>
      <c r="G71" s="316">
        <v>0</v>
      </c>
    </row>
    <row r="72" spans="1:7" s="480" customFormat="1">
      <c r="A72" s="584">
        <v>486</v>
      </c>
      <c r="B72" s="587"/>
      <c r="C72" s="585" t="s">
        <v>172</v>
      </c>
      <c r="D72" s="569">
        <v>0</v>
      </c>
      <c r="E72" s="569">
        <v>0</v>
      </c>
      <c r="F72" s="317">
        <v>0</v>
      </c>
      <c r="G72" s="316">
        <v>0</v>
      </c>
    </row>
    <row r="73" spans="1:7" s="579" customFormat="1">
      <c r="A73" s="584">
        <v>487</v>
      </c>
      <c r="B73" s="586"/>
      <c r="C73" s="585" t="s">
        <v>171</v>
      </c>
      <c r="D73" s="569">
        <v>0</v>
      </c>
      <c r="E73" s="569">
        <v>0</v>
      </c>
      <c r="F73" s="362">
        <v>0</v>
      </c>
      <c r="G73" s="316">
        <v>0</v>
      </c>
    </row>
    <row r="74" spans="1:7" s="579" customFormat="1">
      <c r="A74" s="584">
        <v>489</v>
      </c>
      <c r="B74" s="581"/>
      <c r="C74" s="583" t="s">
        <v>170</v>
      </c>
      <c r="D74" s="569">
        <v>0</v>
      </c>
      <c r="E74" s="569">
        <v>0</v>
      </c>
      <c r="F74" s="362">
        <v>0</v>
      </c>
      <c r="G74" s="316">
        <v>0</v>
      </c>
    </row>
    <row r="75" spans="1:7" s="579" customFormat="1">
      <c r="A75" s="582" t="s">
        <v>169</v>
      </c>
      <c r="B75" s="581"/>
      <c r="C75" s="580" t="s">
        <v>168</v>
      </c>
      <c r="D75" s="569">
        <v>0</v>
      </c>
      <c r="E75" s="569">
        <v>0</v>
      </c>
      <c r="F75" s="317">
        <v>0</v>
      </c>
      <c r="G75" s="316">
        <v>0</v>
      </c>
    </row>
    <row r="76" spans="1:7">
      <c r="A76" s="578"/>
      <c r="B76" s="578"/>
      <c r="C76" s="576" t="s">
        <v>167</v>
      </c>
      <c r="D76" s="380">
        <f>SUM(D65:D74)-SUM(D57:D64)</f>
        <v>0</v>
      </c>
      <c r="E76" s="380">
        <f>SUM(E65:E74)-SUM(E57:E64)</f>
        <v>0</v>
      </c>
      <c r="F76" s="380">
        <f>SUM(F65:F74)-SUM(F57:F64)</f>
        <v>0</v>
      </c>
      <c r="G76" s="380">
        <f>SUM(G65:G74)-SUM(G57:G64)</f>
        <v>0</v>
      </c>
    </row>
    <row r="77" spans="1:7">
      <c r="A77" s="577"/>
      <c r="B77" s="577"/>
      <c r="C77" s="576" t="s">
        <v>166</v>
      </c>
      <c r="D77" s="380">
        <f>D56+D76</f>
        <v>0</v>
      </c>
      <c r="E77" s="380">
        <f>E56+E76</f>
        <v>0</v>
      </c>
      <c r="F77" s="380">
        <f>F56+F76</f>
        <v>0</v>
      </c>
      <c r="G77" s="380">
        <f>G56+G76</f>
        <v>-4738.2999999999884</v>
      </c>
    </row>
    <row r="78" spans="1:7">
      <c r="A78" s="575">
        <v>3</v>
      </c>
      <c r="B78" s="575"/>
      <c r="C78" s="574" t="s">
        <v>165</v>
      </c>
      <c r="D78" s="377">
        <f>D20+D21+SUM(D38:D43)+SUM(D57:D64)</f>
        <v>0</v>
      </c>
      <c r="E78" s="377">
        <f>E20+E21+SUM(E38:E43)+SUM(E57:E64)</f>
        <v>0</v>
      </c>
      <c r="F78" s="377">
        <f>F20+F21+SUM(F38:F43)+SUM(F57:F64)</f>
        <v>0</v>
      </c>
      <c r="G78" s="377">
        <f>G20+G21+SUM(G38:G43)+SUM(G57:G64)</f>
        <v>146033.29999999999</v>
      </c>
    </row>
    <row r="79" spans="1:7" ht="13.9" customHeight="1">
      <c r="A79" s="575">
        <v>4</v>
      </c>
      <c r="B79" s="575"/>
      <c r="C79" s="574" t="s">
        <v>164</v>
      </c>
      <c r="D79" s="377">
        <f>D35+D36+SUM(D44:D53)+SUM(D65:D74)</f>
        <v>0</v>
      </c>
      <c r="E79" s="377">
        <f>E35+E36+SUM(E44:E53)+SUM(E65:E74)</f>
        <v>0</v>
      </c>
      <c r="F79" s="377">
        <f>F35+F36+SUM(F44:F53)+SUM(F65:F74)</f>
        <v>0</v>
      </c>
      <c r="G79" s="377">
        <f>G35+G36+SUM(G44:G53)+SUM(G65:G74)</f>
        <v>141184</v>
      </c>
    </row>
    <row r="80" spans="1:7">
      <c r="A80" s="534"/>
      <c r="B80" s="534"/>
      <c r="C80" s="533"/>
    </row>
    <row r="81" spans="1:7">
      <c r="A81" s="951" t="s">
        <v>163</v>
      </c>
      <c r="B81" s="952"/>
      <c r="C81" s="952"/>
    </row>
    <row r="82" spans="1:7" s="480" customFormat="1">
      <c r="A82" s="567">
        <v>50</v>
      </c>
      <c r="B82" s="565"/>
      <c r="C82" s="565" t="s">
        <v>162</v>
      </c>
      <c r="D82" s="412">
        <v>0</v>
      </c>
      <c r="E82" s="412">
        <v>0</v>
      </c>
      <c r="F82" s="573">
        <v>0</v>
      </c>
      <c r="G82" s="572">
        <v>12891</v>
      </c>
    </row>
    <row r="83" spans="1:7" s="480" customFormat="1">
      <c r="A83" s="567">
        <v>51</v>
      </c>
      <c r="B83" s="565"/>
      <c r="C83" s="565" t="s">
        <v>161</v>
      </c>
      <c r="D83" s="569">
        <v>0</v>
      </c>
      <c r="E83" s="569">
        <v>0</v>
      </c>
      <c r="F83" s="317">
        <v>0</v>
      </c>
      <c r="G83" s="316">
        <v>0</v>
      </c>
    </row>
    <row r="84" spans="1:7" s="480" customFormat="1">
      <c r="A84" s="567">
        <v>52</v>
      </c>
      <c r="B84" s="565"/>
      <c r="C84" s="565" t="s">
        <v>160</v>
      </c>
      <c r="D84" s="569">
        <v>0</v>
      </c>
      <c r="E84" s="569">
        <v>0</v>
      </c>
      <c r="F84" s="317">
        <v>0</v>
      </c>
      <c r="G84" s="316">
        <v>13</v>
      </c>
    </row>
    <row r="85" spans="1:7" s="480" customFormat="1">
      <c r="A85" s="571">
        <v>54</v>
      </c>
      <c r="B85" s="570"/>
      <c r="C85" s="570" t="s">
        <v>117</v>
      </c>
      <c r="D85" s="569">
        <v>0</v>
      </c>
      <c r="E85" s="569">
        <v>0</v>
      </c>
      <c r="F85" s="322">
        <v>0</v>
      </c>
      <c r="G85" s="321">
        <v>0</v>
      </c>
    </row>
    <row r="86" spans="1:7" s="480" customFormat="1">
      <c r="A86" s="571">
        <v>55</v>
      </c>
      <c r="B86" s="570"/>
      <c r="C86" s="570" t="s">
        <v>159</v>
      </c>
      <c r="D86" s="569">
        <v>0</v>
      </c>
      <c r="E86" s="569">
        <v>0</v>
      </c>
      <c r="F86" s="322">
        <v>0</v>
      </c>
      <c r="G86" s="321">
        <v>0</v>
      </c>
    </row>
    <row r="87" spans="1:7" s="480" customFormat="1">
      <c r="A87" s="571">
        <v>56</v>
      </c>
      <c r="B87" s="570"/>
      <c r="C87" s="570" t="s">
        <v>158</v>
      </c>
      <c r="D87" s="569">
        <v>0</v>
      </c>
      <c r="E87" s="569">
        <v>0</v>
      </c>
      <c r="F87" s="322">
        <v>0</v>
      </c>
      <c r="G87" s="322">
        <v>4200</v>
      </c>
    </row>
    <row r="88" spans="1:7" s="480" customFormat="1">
      <c r="A88" s="567">
        <v>57</v>
      </c>
      <c r="B88" s="565"/>
      <c r="C88" s="565" t="s">
        <v>143</v>
      </c>
      <c r="D88" s="569">
        <v>0</v>
      </c>
      <c r="E88" s="569">
        <v>0</v>
      </c>
      <c r="F88" s="317">
        <v>0</v>
      </c>
      <c r="G88" s="316">
        <v>0</v>
      </c>
    </row>
    <row r="89" spans="1:7" s="480" customFormat="1">
      <c r="A89" s="567">
        <v>580</v>
      </c>
      <c r="B89" s="565"/>
      <c r="C89" s="565" t="s">
        <v>157</v>
      </c>
      <c r="D89" s="318">
        <v>0</v>
      </c>
      <c r="E89" s="369">
        <v>0</v>
      </c>
      <c r="F89" s="317">
        <v>0</v>
      </c>
      <c r="G89" s="316">
        <v>0</v>
      </c>
    </row>
    <row r="90" spans="1:7" s="480" customFormat="1">
      <c r="A90" s="567">
        <v>582</v>
      </c>
      <c r="B90" s="565"/>
      <c r="C90" s="565" t="s">
        <v>156</v>
      </c>
      <c r="D90" s="318">
        <v>0</v>
      </c>
      <c r="E90" s="369">
        <v>0</v>
      </c>
      <c r="F90" s="317">
        <v>0</v>
      </c>
      <c r="G90" s="316">
        <v>0</v>
      </c>
    </row>
    <row r="91" spans="1:7" s="480" customFormat="1">
      <c r="A91" s="567">
        <v>584</v>
      </c>
      <c r="B91" s="565"/>
      <c r="C91" s="565" t="s">
        <v>155</v>
      </c>
      <c r="D91" s="318">
        <v>0</v>
      </c>
      <c r="E91" s="369">
        <v>0</v>
      </c>
      <c r="F91" s="317">
        <v>0</v>
      </c>
      <c r="G91" s="316">
        <v>0</v>
      </c>
    </row>
    <row r="92" spans="1:7" s="480" customFormat="1">
      <c r="A92" s="567">
        <v>585</v>
      </c>
      <c r="B92" s="565"/>
      <c r="C92" s="565" t="s">
        <v>154</v>
      </c>
      <c r="D92" s="318">
        <v>0</v>
      </c>
      <c r="E92" s="369">
        <v>0</v>
      </c>
      <c r="F92" s="317">
        <v>0</v>
      </c>
      <c r="G92" s="316">
        <v>0</v>
      </c>
    </row>
    <row r="93" spans="1:7" s="480" customFormat="1">
      <c r="A93" s="567">
        <v>586</v>
      </c>
      <c r="B93" s="565"/>
      <c r="C93" s="565" t="s">
        <v>153</v>
      </c>
      <c r="D93" s="318">
        <v>0</v>
      </c>
      <c r="E93" s="369">
        <v>0</v>
      </c>
      <c r="F93" s="317">
        <v>0</v>
      </c>
      <c r="G93" s="316">
        <v>0</v>
      </c>
    </row>
    <row r="94" spans="1:7" s="480" customFormat="1">
      <c r="A94" s="568">
        <v>589</v>
      </c>
      <c r="B94" s="561"/>
      <c r="C94" s="561" t="s">
        <v>152</v>
      </c>
      <c r="D94" s="334">
        <v>0</v>
      </c>
      <c r="E94" s="373">
        <v>0</v>
      </c>
      <c r="F94" s="333">
        <v>0</v>
      </c>
      <c r="G94" s="372">
        <v>0</v>
      </c>
    </row>
    <row r="95" spans="1:7">
      <c r="A95" s="557">
        <v>5</v>
      </c>
      <c r="B95" s="555"/>
      <c r="C95" s="555" t="s">
        <v>151</v>
      </c>
      <c r="D95" s="348">
        <f>SUM(D82:D94)</f>
        <v>0</v>
      </c>
      <c r="E95" s="348">
        <f>SUM(E82:E94)</f>
        <v>0</v>
      </c>
      <c r="F95" s="348">
        <f>SUM(F82:F94)</f>
        <v>0</v>
      </c>
      <c r="G95" s="348">
        <f>SUM(G82:G94)</f>
        <v>17104</v>
      </c>
    </row>
    <row r="96" spans="1:7" s="480" customFormat="1">
      <c r="A96" s="567">
        <v>60</v>
      </c>
      <c r="B96" s="565"/>
      <c r="C96" s="565" t="s">
        <v>150</v>
      </c>
      <c r="D96" s="318">
        <v>0</v>
      </c>
      <c r="E96" s="318">
        <v>0</v>
      </c>
      <c r="F96" s="317">
        <v>0</v>
      </c>
      <c r="G96" s="316">
        <v>0</v>
      </c>
    </row>
    <row r="97" spans="1:7" s="480" customFormat="1">
      <c r="A97" s="567">
        <v>61</v>
      </c>
      <c r="B97" s="565"/>
      <c r="C97" s="565" t="s">
        <v>149</v>
      </c>
      <c r="D97" s="318">
        <v>0</v>
      </c>
      <c r="E97" s="318">
        <v>0</v>
      </c>
      <c r="F97" s="317">
        <v>0</v>
      </c>
      <c r="G97" s="316">
        <v>0</v>
      </c>
    </row>
    <row r="98" spans="1:7" s="480" customFormat="1">
      <c r="A98" s="567">
        <v>62</v>
      </c>
      <c r="B98" s="565"/>
      <c r="C98" s="565" t="s">
        <v>148</v>
      </c>
      <c r="D98" s="318">
        <v>0</v>
      </c>
      <c r="E98" s="318">
        <v>0</v>
      </c>
      <c r="F98" s="317">
        <v>0</v>
      </c>
      <c r="G98" s="316">
        <v>0</v>
      </c>
    </row>
    <row r="99" spans="1:7" s="480" customFormat="1">
      <c r="A99" s="567">
        <v>63</v>
      </c>
      <c r="B99" s="565"/>
      <c r="C99" s="565" t="s">
        <v>147</v>
      </c>
      <c r="D99" s="318">
        <v>0</v>
      </c>
      <c r="E99" s="318">
        <v>0</v>
      </c>
      <c r="F99" s="317">
        <v>0</v>
      </c>
      <c r="G99" s="317">
        <v>100</v>
      </c>
    </row>
    <row r="100" spans="1:7" s="480" customFormat="1">
      <c r="A100" s="567">
        <v>64</v>
      </c>
      <c r="B100" s="565"/>
      <c r="C100" s="565" t="s">
        <v>146</v>
      </c>
      <c r="D100" s="318">
        <v>0</v>
      </c>
      <c r="E100" s="318">
        <v>0</v>
      </c>
      <c r="F100" s="317">
        <v>0</v>
      </c>
      <c r="G100" s="316">
        <v>0</v>
      </c>
    </row>
    <row r="101" spans="1:7" s="480" customFormat="1">
      <c r="A101" s="567">
        <v>65</v>
      </c>
      <c r="B101" s="565"/>
      <c r="C101" s="565" t="s">
        <v>145</v>
      </c>
      <c r="D101" s="318">
        <v>0</v>
      </c>
      <c r="E101" s="318">
        <v>0</v>
      </c>
      <c r="F101" s="317">
        <v>0</v>
      </c>
      <c r="G101" s="316">
        <v>0</v>
      </c>
    </row>
    <row r="102" spans="1:7" s="480" customFormat="1">
      <c r="A102" s="567">
        <v>66</v>
      </c>
      <c r="B102" s="565"/>
      <c r="C102" s="565" t="s">
        <v>144</v>
      </c>
      <c r="D102" s="318">
        <v>0</v>
      </c>
      <c r="E102" s="318">
        <v>0</v>
      </c>
      <c r="F102" s="317">
        <v>0</v>
      </c>
      <c r="G102" s="316">
        <v>498</v>
      </c>
    </row>
    <row r="103" spans="1:7" s="480" customFormat="1">
      <c r="A103" s="567">
        <v>67</v>
      </c>
      <c r="B103" s="565"/>
      <c r="C103" s="565" t="s">
        <v>143</v>
      </c>
      <c r="D103" s="318">
        <v>0</v>
      </c>
      <c r="E103" s="318">
        <v>0</v>
      </c>
      <c r="F103" s="362">
        <v>0</v>
      </c>
      <c r="G103" s="361">
        <v>0</v>
      </c>
    </row>
    <row r="104" spans="1:7" s="480" customFormat="1" ht="25.5">
      <c r="A104" s="566" t="s">
        <v>142</v>
      </c>
      <c r="B104" s="565"/>
      <c r="C104" s="564" t="s">
        <v>141</v>
      </c>
      <c r="D104" s="318">
        <v>0</v>
      </c>
      <c r="E104" s="318">
        <v>0</v>
      </c>
      <c r="F104" s="409">
        <v>0</v>
      </c>
      <c r="G104" s="563">
        <v>0</v>
      </c>
    </row>
    <row r="105" spans="1:7" s="480" customFormat="1" ht="38.25">
      <c r="A105" s="562" t="s">
        <v>140</v>
      </c>
      <c r="B105" s="561"/>
      <c r="C105" s="560" t="s">
        <v>139</v>
      </c>
      <c r="D105" s="318">
        <v>0</v>
      </c>
      <c r="E105" s="318">
        <v>0</v>
      </c>
      <c r="F105" s="559">
        <v>0</v>
      </c>
      <c r="G105" s="558">
        <v>0</v>
      </c>
    </row>
    <row r="106" spans="1:7">
      <c r="A106" s="557">
        <v>6</v>
      </c>
      <c r="B106" s="555"/>
      <c r="C106" s="555" t="s">
        <v>138</v>
      </c>
      <c r="D106" s="348">
        <f>SUM(D96:D105)</f>
        <v>0</v>
      </c>
      <c r="E106" s="348">
        <f>SUM(E96:E105)</f>
        <v>0</v>
      </c>
      <c r="F106" s="348">
        <f>SUM(F96:F105)</f>
        <v>0</v>
      </c>
      <c r="G106" s="348">
        <f>SUM(G96:G105)</f>
        <v>598</v>
      </c>
    </row>
    <row r="107" spans="1:7">
      <c r="A107" s="556" t="s">
        <v>137</v>
      </c>
      <c r="B107" s="556"/>
      <c r="C107" s="555" t="s">
        <v>3</v>
      </c>
      <c r="D107" s="348">
        <f>(D95-D88)-(D106-D103)</f>
        <v>0</v>
      </c>
      <c r="E107" s="348">
        <f>(E95-E88)-(E106-E103)</f>
        <v>0</v>
      </c>
      <c r="F107" s="348">
        <f>(F95-F88)-(F106-F103)</f>
        <v>0</v>
      </c>
      <c r="G107" s="348">
        <f>(G95-G88)-(G106-G103)</f>
        <v>16506</v>
      </c>
    </row>
    <row r="108" spans="1:7">
      <c r="A108" s="554" t="s">
        <v>136</v>
      </c>
      <c r="B108" s="554"/>
      <c r="C108" s="553" t="s">
        <v>135</v>
      </c>
      <c r="D108" s="552">
        <f>D107-D85-D86+D100+D101</f>
        <v>0</v>
      </c>
      <c r="E108" s="552">
        <f>E107-E85-E86+E100+E101</f>
        <v>0</v>
      </c>
      <c r="F108" s="552">
        <f>F107-F85-F86+F100+F101</f>
        <v>0</v>
      </c>
      <c r="G108" s="552">
        <f>G107-G85-G86+G100+G101</f>
        <v>16506</v>
      </c>
    </row>
    <row r="109" spans="1:7">
      <c r="A109" s="534"/>
      <c r="B109" s="534"/>
      <c r="C109" s="533"/>
    </row>
    <row r="110" spans="1:7" s="512" customFormat="1">
      <c r="A110" s="550" t="s">
        <v>134</v>
      </c>
      <c r="B110" s="551"/>
      <c r="C110" s="550"/>
    </row>
    <row r="111" spans="1:7" s="516" customFormat="1">
      <c r="A111" s="532">
        <v>10</v>
      </c>
      <c r="B111" s="531"/>
      <c r="C111" s="531" t="s">
        <v>133</v>
      </c>
      <c r="D111" s="326">
        <f>D112+D117</f>
        <v>0</v>
      </c>
      <c r="E111" s="326">
        <f>E112+E117</f>
        <v>0</v>
      </c>
      <c r="F111" s="326">
        <f>F112+F117</f>
        <v>0</v>
      </c>
      <c r="G111" s="326">
        <f>G112+G117</f>
        <v>103788.1</v>
      </c>
    </row>
    <row r="112" spans="1:7" s="516" customFormat="1">
      <c r="A112" s="539" t="s">
        <v>132</v>
      </c>
      <c r="B112" s="519"/>
      <c r="C112" s="519" t="s">
        <v>131</v>
      </c>
      <c r="D112" s="326">
        <f>D113+D114+D115+D116</f>
        <v>0</v>
      </c>
      <c r="E112" s="326">
        <f>E113+E114+E115+E116</f>
        <v>0</v>
      </c>
      <c r="F112" s="326">
        <f>F113+F114+F115+F116</f>
        <v>0</v>
      </c>
      <c r="G112" s="326">
        <f>G113+G114+G115+G116</f>
        <v>101378.40000000001</v>
      </c>
    </row>
    <row r="113" spans="1:7" s="516" customFormat="1">
      <c r="A113" s="544" t="s">
        <v>130</v>
      </c>
      <c r="B113" s="528"/>
      <c r="C113" s="528" t="s">
        <v>129</v>
      </c>
      <c r="D113" s="323">
        <v>0</v>
      </c>
      <c r="E113" s="321"/>
      <c r="F113" s="322">
        <v>0</v>
      </c>
      <c r="G113" s="545">
        <f>87978.1+10476.5</f>
        <v>98454.6</v>
      </c>
    </row>
    <row r="114" spans="1:7" s="546" customFormat="1" ht="15" customHeight="1">
      <c r="A114" s="543">
        <v>102</v>
      </c>
      <c r="B114" s="549"/>
      <c r="C114" s="549" t="s">
        <v>128</v>
      </c>
      <c r="D114" s="323">
        <v>0</v>
      </c>
      <c r="E114" s="548"/>
      <c r="F114" s="522">
        <v>0</v>
      </c>
      <c r="G114" s="547"/>
    </row>
    <row r="115" spans="1:7" s="516" customFormat="1">
      <c r="A115" s="544">
        <v>104</v>
      </c>
      <c r="B115" s="528"/>
      <c r="C115" s="528" t="s">
        <v>127</v>
      </c>
      <c r="D115" s="323">
        <v>0</v>
      </c>
      <c r="E115" s="321"/>
      <c r="F115" s="322">
        <v>0</v>
      </c>
      <c r="G115" s="545">
        <v>2923.8</v>
      </c>
    </row>
    <row r="116" spans="1:7" s="516" customFormat="1">
      <c r="A116" s="544">
        <v>106</v>
      </c>
      <c r="B116" s="528"/>
      <c r="C116" s="528" t="s">
        <v>126</v>
      </c>
      <c r="D116" s="323">
        <v>0</v>
      </c>
      <c r="E116" s="321"/>
      <c r="F116" s="322">
        <v>0</v>
      </c>
      <c r="G116" s="322">
        <v>0</v>
      </c>
    </row>
    <row r="117" spans="1:7" s="516" customFormat="1">
      <c r="A117" s="539" t="s">
        <v>125</v>
      </c>
      <c r="B117" s="519"/>
      <c r="C117" s="519" t="s">
        <v>124</v>
      </c>
      <c r="D117" s="326">
        <f>D118+D119+D120</f>
        <v>0</v>
      </c>
      <c r="E117" s="326">
        <f>E118+E119+E120</f>
        <v>0</v>
      </c>
      <c r="F117" s="326">
        <f>F118+F119+F120</f>
        <v>0</v>
      </c>
      <c r="G117" s="326">
        <f>G118+G119+G120</f>
        <v>2409.6999999999998</v>
      </c>
    </row>
    <row r="118" spans="1:7" s="516" customFormat="1">
      <c r="A118" s="544">
        <v>107</v>
      </c>
      <c r="B118" s="528"/>
      <c r="C118" s="528" t="s">
        <v>123</v>
      </c>
      <c r="D118" s="323">
        <v>0</v>
      </c>
      <c r="E118" s="321"/>
      <c r="F118" s="322">
        <v>0</v>
      </c>
      <c r="G118" s="322">
        <v>2409.6999999999998</v>
      </c>
    </row>
    <row r="119" spans="1:7" s="516" customFormat="1">
      <c r="A119" s="544">
        <v>108</v>
      </c>
      <c r="B119" s="528"/>
      <c r="C119" s="528" t="s">
        <v>122</v>
      </c>
      <c r="D119" s="323">
        <v>0</v>
      </c>
      <c r="E119" s="321"/>
      <c r="F119" s="322">
        <v>0</v>
      </c>
      <c r="G119" s="322">
        <v>0</v>
      </c>
    </row>
    <row r="120" spans="1:7" s="538" customFormat="1" ht="25.5">
      <c r="A120" s="543">
        <v>109</v>
      </c>
      <c r="B120" s="542"/>
      <c r="C120" s="542" t="s">
        <v>121</v>
      </c>
      <c r="D120" s="540">
        <v>0</v>
      </c>
      <c r="E120" s="541"/>
      <c r="F120" s="540">
        <v>0</v>
      </c>
      <c r="G120" s="540">
        <v>0</v>
      </c>
    </row>
    <row r="121" spans="1:7" s="516" customFormat="1">
      <c r="A121" s="539">
        <v>14</v>
      </c>
      <c r="B121" s="519"/>
      <c r="C121" s="519" t="s">
        <v>120</v>
      </c>
      <c r="D121" s="327">
        <f>SUM(D122:D130)</f>
        <v>0</v>
      </c>
      <c r="E121" s="327">
        <f>SUM(E122:E130)</f>
        <v>0</v>
      </c>
      <c r="F121" s="327">
        <f>SUM(F122:F130)</f>
        <v>0</v>
      </c>
      <c r="G121" s="327">
        <f>SUM(G122:G130)</f>
        <v>30000</v>
      </c>
    </row>
    <row r="122" spans="1:7" s="516" customFormat="1">
      <c r="A122" s="537" t="s">
        <v>119</v>
      </c>
      <c r="B122" s="526"/>
      <c r="C122" s="526" t="s">
        <v>118</v>
      </c>
      <c r="D122" s="323">
        <v>0</v>
      </c>
      <c r="E122" s="316"/>
      <c r="F122" s="317">
        <v>0</v>
      </c>
      <c r="G122" s="317">
        <v>0</v>
      </c>
    </row>
    <row r="123" spans="1:7" s="516" customFormat="1">
      <c r="A123" s="537">
        <v>144</v>
      </c>
      <c r="B123" s="526"/>
      <c r="C123" s="526" t="s">
        <v>117</v>
      </c>
      <c r="D123" s="323">
        <v>0</v>
      </c>
      <c r="E123" s="316"/>
      <c r="F123" s="322">
        <v>0</v>
      </c>
      <c r="G123" s="322">
        <v>30000</v>
      </c>
    </row>
    <row r="124" spans="1:7" s="516" customFormat="1">
      <c r="A124" s="537">
        <v>145</v>
      </c>
      <c r="B124" s="526"/>
      <c r="C124" s="526" t="s">
        <v>116</v>
      </c>
      <c r="D124" s="323">
        <v>0</v>
      </c>
      <c r="E124" s="304"/>
      <c r="F124" s="322">
        <v>0</v>
      </c>
      <c r="G124" s="322">
        <v>0</v>
      </c>
    </row>
    <row r="125" spans="1:7" s="516" customFormat="1">
      <c r="A125" s="537">
        <v>146</v>
      </c>
      <c r="B125" s="526"/>
      <c r="C125" s="526" t="s">
        <v>115</v>
      </c>
      <c r="D125" s="323">
        <v>0</v>
      </c>
      <c r="E125" s="304"/>
      <c r="F125" s="322">
        <v>0</v>
      </c>
      <c r="G125" s="322">
        <v>0</v>
      </c>
    </row>
    <row r="126" spans="1:7" s="538" customFormat="1" ht="29.45" customHeight="1">
      <c r="A126" s="524" t="s">
        <v>114</v>
      </c>
      <c r="B126" s="523"/>
      <c r="C126" s="523" t="s">
        <v>113</v>
      </c>
      <c r="D126" s="311">
        <v>0</v>
      </c>
      <c r="E126" s="339"/>
      <c r="F126" s="311">
        <v>0</v>
      </c>
      <c r="G126" s="311">
        <v>0</v>
      </c>
    </row>
    <row r="127" spans="1:7" s="516" customFormat="1">
      <c r="A127" s="537">
        <v>1484</v>
      </c>
      <c r="B127" s="526"/>
      <c r="C127" s="526" t="s">
        <v>112</v>
      </c>
      <c r="D127" s="317">
        <v>0</v>
      </c>
      <c r="E127" s="304"/>
      <c r="F127" s="317">
        <v>0</v>
      </c>
      <c r="G127" s="317">
        <v>0</v>
      </c>
    </row>
    <row r="128" spans="1:7" s="516" customFormat="1">
      <c r="A128" s="537">
        <v>1485</v>
      </c>
      <c r="B128" s="526"/>
      <c r="C128" s="526" t="s">
        <v>111</v>
      </c>
      <c r="D128" s="317">
        <v>0</v>
      </c>
      <c r="E128" s="304"/>
      <c r="F128" s="317">
        <v>0</v>
      </c>
      <c r="G128" s="317">
        <v>0</v>
      </c>
    </row>
    <row r="129" spans="1:7" s="516" customFormat="1">
      <c r="A129" s="537">
        <v>1486</v>
      </c>
      <c r="B129" s="526"/>
      <c r="C129" s="526" t="s">
        <v>110</v>
      </c>
      <c r="D129" s="317">
        <v>0</v>
      </c>
      <c r="E129" s="304"/>
      <c r="F129" s="317">
        <v>0</v>
      </c>
      <c r="G129" s="317">
        <v>0</v>
      </c>
    </row>
    <row r="130" spans="1:7" s="516" customFormat="1">
      <c r="A130" s="536">
        <v>1489</v>
      </c>
      <c r="B130" s="535"/>
      <c r="C130" s="535" t="s">
        <v>109</v>
      </c>
      <c r="D130" s="333">
        <v>0</v>
      </c>
      <c r="E130" s="332"/>
      <c r="F130" s="333">
        <v>0</v>
      </c>
      <c r="G130" s="333">
        <v>0</v>
      </c>
    </row>
    <row r="131" spans="1:7" s="512" customFormat="1">
      <c r="A131" s="515">
        <v>1</v>
      </c>
      <c r="B131" s="514"/>
      <c r="C131" s="515" t="s">
        <v>108</v>
      </c>
      <c r="D131" s="295">
        <f>D111+D121</f>
        <v>0</v>
      </c>
      <c r="E131" s="295">
        <f>E111+E121</f>
        <v>0</v>
      </c>
      <c r="F131" s="295">
        <f>F111+F121</f>
        <v>0</v>
      </c>
      <c r="G131" s="295">
        <f>G111+G121</f>
        <v>133788.1</v>
      </c>
    </row>
    <row r="132" spans="1:7" s="512" customFormat="1">
      <c r="A132" s="534"/>
      <c r="B132" s="534"/>
      <c r="C132" s="533"/>
    </row>
    <row r="133" spans="1:7" s="516" customFormat="1">
      <c r="A133" s="532">
        <v>20</v>
      </c>
      <c r="B133" s="531"/>
      <c r="C133" s="531" t="s">
        <v>107</v>
      </c>
      <c r="D133" s="329">
        <f>D134+D140</f>
        <v>0</v>
      </c>
      <c r="E133" s="329">
        <f>E134+E140</f>
        <v>0</v>
      </c>
      <c r="F133" s="329">
        <f>F134+F140</f>
        <v>0</v>
      </c>
      <c r="G133" s="329">
        <f>G134+G140</f>
        <v>51684</v>
      </c>
    </row>
    <row r="134" spans="1:7" s="516" customFormat="1">
      <c r="A134" s="520" t="s">
        <v>106</v>
      </c>
      <c r="B134" s="519"/>
      <c r="C134" s="519" t="s">
        <v>105</v>
      </c>
      <c r="D134" s="327">
        <f>D135+D136+D138+D139</f>
        <v>0</v>
      </c>
      <c r="E134" s="326">
        <f>E135+E136+E138+E139</f>
        <v>0</v>
      </c>
      <c r="F134" s="327">
        <f>F135+F136+F138+F139</f>
        <v>0</v>
      </c>
      <c r="G134" s="326">
        <f>G135+G136+G138+G139</f>
        <v>33296.6</v>
      </c>
    </row>
    <row r="135" spans="1:7" s="525" customFormat="1">
      <c r="A135" s="527">
        <v>200</v>
      </c>
      <c r="B135" s="526"/>
      <c r="C135" s="526" t="s">
        <v>104</v>
      </c>
      <c r="D135" s="323">
        <v>0</v>
      </c>
      <c r="E135" s="316"/>
      <c r="F135" s="322">
        <v>0</v>
      </c>
      <c r="G135" s="322">
        <v>24987.3</v>
      </c>
    </row>
    <row r="136" spans="1:7" s="525" customFormat="1">
      <c r="A136" s="527">
        <v>201</v>
      </c>
      <c r="B136" s="526"/>
      <c r="C136" s="526" t="s">
        <v>103</v>
      </c>
      <c r="D136" s="323">
        <v>0</v>
      </c>
      <c r="E136" s="316"/>
      <c r="F136" s="322">
        <v>0</v>
      </c>
      <c r="G136" s="322">
        <v>625</v>
      </c>
    </row>
    <row r="137" spans="1:7" s="525" customFormat="1">
      <c r="A137" s="529" t="s">
        <v>102</v>
      </c>
      <c r="B137" s="528"/>
      <c r="C137" s="528" t="s">
        <v>101</v>
      </c>
      <c r="D137" s="323">
        <v>0</v>
      </c>
      <c r="E137" s="321"/>
      <c r="F137" s="322">
        <v>0</v>
      </c>
      <c r="G137" s="322">
        <v>0</v>
      </c>
    </row>
    <row r="138" spans="1:7" s="525" customFormat="1">
      <c r="A138" s="527">
        <v>204</v>
      </c>
      <c r="B138" s="526"/>
      <c r="C138" s="526" t="s">
        <v>100</v>
      </c>
      <c r="D138" s="323">
        <v>0</v>
      </c>
      <c r="E138" s="316"/>
      <c r="F138" s="322">
        <v>0</v>
      </c>
      <c r="G138" s="322">
        <v>7684.3</v>
      </c>
    </row>
    <row r="139" spans="1:7" s="525" customFormat="1">
      <c r="A139" s="527">
        <v>205</v>
      </c>
      <c r="B139" s="526"/>
      <c r="C139" s="526" t="s">
        <v>99</v>
      </c>
      <c r="D139" s="323">
        <v>0</v>
      </c>
      <c r="E139" s="316"/>
      <c r="F139" s="322">
        <v>0</v>
      </c>
      <c r="G139" s="322">
        <v>0</v>
      </c>
    </row>
    <row r="140" spans="1:7" s="525" customFormat="1">
      <c r="A140" s="520" t="s">
        <v>98</v>
      </c>
      <c r="B140" s="519"/>
      <c r="C140" s="519" t="s">
        <v>97</v>
      </c>
      <c r="D140" s="326">
        <f>D141+D143+D144</f>
        <v>0</v>
      </c>
      <c r="E140" s="326">
        <f>E141+E143+E144</f>
        <v>0</v>
      </c>
      <c r="F140" s="326">
        <f>F141+F143+F144</f>
        <v>0</v>
      </c>
      <c r="G140" s="326">
        <f>G141+G143+G144</f>
        <v>18387.399999999998</v>
      </c>
    </row>
    <row r="141" spans="1:7" s="525" customFormat="1">
      <c r="A141" s="527">
        <v>206</v>
      </c>
      <c r="B141" s="526"/>
      <c r="C141" s="526" t="s">
        <v>96</v>
      </c>
      <c r="D141" s="323">
        <v>0</v>
      </c>
      <c r="E141" s="304"/>
      <c r="F141" s="322">
        <v>0</v>
      </c>
      <c r="G141" s="322">
        <v>0</v>
      </c>
    </row>
    <row r="142" spans="1:7" s="525" customFormat="1">
      <c r="A142" s="529" t="s">
        <v>95</v>
      </c>
      <c r="B142" s="528"/>
      <c r="C142" s="528" t="s">
        <v>94</v>
      </c>
      <c r="D142" s="323">
        <v>0</v>
      </c>
      <c r="E142" s="328"/>
      <c r="F142" s="322">
        <v>0</v>
      </c>
      <c r="G142" s="322">
        <v>0</v>
      </c>
    </row>
    <row r="143" spans="1:7" s="525" customFormat="1">
      <c r="A143" s="527">
        <v>208</v>
      </c>
      <c r="B143" s="526"/>
      <c r="C143" s="526" t="s">
        <v>93</v>
      </c>
      <c r="D143" s="323">
        <v>0</v>
      </c>
      <c r="E143" s="304"/>
      <c r="F143" s="322">
        <v>0</v>
      </c>
      <c r="G143" s="322">
        <v>16562.8</v>
      </c>
    </row>
    <row r="144" spans="1:7" s="521" customFormat="1" ht="25.5">
      <c r="A144" s="524">
        <v>209</v>
      </c>
      <c r="B144" s="523"/>
      <c r="C144" s="523" t="s">
        <v>92</v>
      </c>
      <c r="D144" s="323">
        <v>0</v>
      </c>
      <c r="E144" s="339"/>
      <c r="F144" s="522">
        <v>0</v>
      </c>
      <c r="G144" s="522">
        <v>1824.6</v>
      </c>
    </row>
    <row r="145" spans="1:7" s="516" customFormat="1">
      <c r="A145" s="520">
        <v>29</v>
      </c>
      <c r="B145" s="519"/>
      <c r="C145" s="519" t="s">
        <v>61</v>
      </c>
      <c r="D145" s="323">
        <v>0</v>
      </c>
      <c r="E145" s="304"/>
      <c r="F145" s="322">
        <v>0</v>
      </c>
      <c r="G145" s="322">
        <f>52462+29642</f>
        <v>82104</v>
      </c>
    </row>
    <row r="146" spans="1:7" s="516" customFormat="1">
      <c r="A146" s="518" t="s">
        <v>91</v>
      </c>
      <c r="B146" s="517"/>
      <c r="C146" s="517" t="s">
        <v>90</v>
      </c>
      <c r="D146" s="323">
        <v>0</v>
      </c>
      <c r="E146" s="299"/>
      <c r="F146" s="300">
        <v>0</v>
      </c>
      <c r="G146" s="300">
        <v>52462</v>
      </c>
    </row>
    <row r="147" spans="1:7" s="512" customFormat="1">
      <c r="A147" s="515">
        <v>2</v>
      </c>
      <c r="B147" s="514"/>
      <c r="C147" s="513" t="s">
        <v>89</v>
      </c>
      <c r="D147" s="295">
        <f>D133+D145</f>
        <v>0</v>
      </c>
      <c r="E147" s="295">
        <f>E133+E145</f>
        <v>0</v>
      </c>
      <c r="F147" s="295">
        <f>F133+F145</f>
        <v>0</v>
      </c>
      <c r="G147" s="295">
        <f>G133+G145</f>
        <v>133788</v>
      </c>
    </row>
    <row r="148" spans="1:7" ht="7.5" customHeight="1"/>
    <row r="149" spans="1:7" ht="13.5" customHeight="1">
      <c r="A149" s="511" t="s">
        <v>88</v>
      </c>
      <c r="B149" s="509"/>
      <c r="C149" s="510" t="s">
        <v>87</v>
      </c>
      <c r="D149" s="509"/>
      <c r="E149" s="509"/>
      <c r="F149" s="509"/>
      <c r="G149" s="509"/>
    </row>
    <row r="150" spans="1:7">
      <c r="A150" s="498" t="s">
        <v>86</v>
      </c>
      <c r="B150" s="494"/>
      <c r="C150" s="493" t="s">
        <v>85</v>
      </c>
      <c r="D150" s="268">
        <f>D77+SUM(D8:D12)-D30-D31+D16-D33+D59+D63-D73+D64-D74-D54+D20-D35</f>
        <v>0</v>
      </c>
      <c r="E150" s="268">
        <f>E77+SUM(E8:E12)-E30-E31+E16-E33+E59+E63-E73+E64-E74-E54+E20-E35</f>
        <v>0</v>
      </c>
      <c r="F150" s="268">
        <f>F77+SUM(F8:F12)-F30-F31+F16-F33+F59+F63-F73+F64-F74-F54+F20-F35</f>
        <v>0</v>
      </c>
      <c r="G150" s="268">
        <f>G77+SUM(G8:G12)-G30-G31+G16-G33+G59+G63-G73+G64-G74-G54+G20-G35</f>
        <v>-2288.7999999999884</v>
      </c>
    </row>
    <row r="151" spans="1:7">
      <c r="A151" s="489" t="s">
        <v>84</v>
      </c>
      <c r="B151" s="488"/>
      <c r="C151" s="487" t="s">
        <v>83</v>
      </c>
      <c r="D151" s="269">
        <f>IF(D177=0,0,D150/D177)</f>
        <v>0</v>
      </c>
      <c r="E151" s="269">
        <f>IF(E177=0,0,E150/E177)</f>
        <v>0</v>
      </c>
      <c r="F151" s="269">
        <f>IF(F177=0,0,F150/F177)</f>
        <v>0</v>
      </c>
      <c r="G151" s="269">
        <f>IF(G177=0,0,G150/G177)</f>
        <v>-2.0670845149287326E-2</v>
      </c>
    </row>
    <row r="152" spans="1:7" s="504" customFormat="1" ht="25.5">
      <c r="A152" s="508" t="s">
        <v>81</v>
      </c>
      <c r="B152" s="507"/>
      <c r="C152" s="506" t="s">
        <v>82</v>
      </c>
      <c r="D152" s="505">
        <f>IF(D107=0,0,D150/D107)</f>
        <v>0</v>
      </c>
      <c r="E152" s="505">
        <f>IF(E107=0,0,E150/E107)</f>
        <v>0</v>
      </c>
      <c r="F152" s="505">
        <f>IF(F107=0,0,F150/F107)</f>
        <v>0</v>
      </c>
      <c r="G152" s="505">
        <f>IF(G107=0,0,G150/G107)</f>
        <v>-0.13866472797770438</v>
      </c>
    </row>
    <row r="153" spans="1:7" s="504" customFormat="1" ht="25.5">
      <c r="A153" s="497" t="s">
        <v>81</v>
      </c>
      <c r="B153" s="500"/>
      <c r="C153" s="499" t="s">
        <v>80</v>
      </c>
      <c r="D153" s="274">
        <f>IF(0=D108,0,D150/D108)</f>
        <v>0</v>
      </c>
      <c r="E153" s="274">
        <f>IF(0=E108,0,E150/E108)</f>
        <v>0</v>
      </c>
      <c r="F153" s="274">
        <f>IF(0=F108,0,F150/F108)</f>
        <v>0</v>
      </c>
      <c r="G153" s="274">
        <f>IF(0=G108,0,G150/G108)</f>
        <v>-0.13866472797770438</v>
      </c>
    </row>
    <row r="154" spans="1:7" ht="25.5">
      <c r="A154" s="503" t="s">
        <v>79</v>
      </c>
      <c r="B154" s="502"/>
      <c r="C154" s="501" t="s">
        <v>78</v>
      </c>
      <c r="D154" s="279">
        <f>D150-D107</f>
        <v>0</v>
      </c>
      <c r="E154" s="279">
        <f>E150-E107</f>
        <v>0</v>
      </c>
      <c r="F154" s="279">
        <f>F150-F107</f>
        <v>0</v>
      </c>
      <c r="G154" s="279">
        <f>G150-G107</f>
        <v>-18794.799999999988</v>
      </c>
    </row>
    <row r="155" spans="1:7" ht="25.5">
      <c r="A155" s="497" t="s">
        <v>77</v>
      </c>
      <c r="B155" s="500"/>
      <c r="C155" s="499" t="s">
        <v>76</v>
      </c>
      <c r="D155" s="282">
        <f>D150-D108</f>
        <v>0</v>
      </c>
      <c r="E155" s="282">
        <f>E150-E108</f>
        <v>0</v>
      </c>
      <c r="F155" s="282">
        <f>F150-F108</f>
        <v>0</v>
      </c>
      <c r="G155" s="282">
        <f>G150-G108</f>
        <v>-18794.799999999988</v>
      </c>
    </row>
    <row r="156" spans="1:7">
      <c r="A156" s="498" t="s">
        <v>75</v>
      </c>
      <c r="B156" s="494"/>
      <c r="C156" s="493" t="s">
        <v>74</v>
      </c>
      <c r="D156" s="277">
        <f>D135+D136-D137+D141-D142</f>
        <v>0</v>
      </c>
      <c r="E156" s="277">
        <f>E135+E136-E137+E141-E142</f>
        <v>0</v>
      </c>
      <c r="F156" s="277">
        <f>F135+F136-F137+F141-F142</f>
        <v>0</v>
      </c>
      <c r="G156" s="277">
        <f>G135+G136-G137+G141-G142</f>
        <v>25612.3</v>
      </c>
    </row>
    <row r="157" spans="1:7">
      <c r="A157" s="492" t="s">
        <v>73</v>
      </c>
      <c r="B157" s="491"/>
      <c r="C157" s="490" t="s">
        <v>72</v>
      </c>
      <c r="D157" s="273">
        <f>IF(D177=0,0,D156/D177)</f>
        <v>0</v>
      </c>
      <c r="E157" s="273">
        <f>IF(E177=0,0,E156/E177)</f>
        <v>0</v>
      </c>
      <c r="F157" s="273">
        <f>IF(F177=0,0,F156/F177)</f>
        <v>0</v>
      </c>
      <c r="G157" s="273">
        <f>IF(G177=0,0,G156/G177)</f>
        <v>0.23131242887849285</v>
      </c>
    </row>
    <row r="158" spans="1:7">
      <c r="A158" s="498" t="s">
        <v>71</v>
      </c>
      <c r="B158" s="494"/>
      <c r="C158" s="493" t="s">
        <v>70</v>
      </c>
      <c r="D158" s="277">
        <f>D133-D142-D111</f>
        <v>0</v>
      </c>
      <c r="E158" s="277">
        <f>E133-E142-E111</f>
        <v>0</v>
      </c>
      <c r="F158" s="277">
        <f>F133-F142-F111</f>
        <v>0</v>
      </c>
      <c r="G158" s="277">
        <f>G133-G142-G111</f>
        <v>-52104.100000000006</v>
      </c>
    </row>
    <row r="159" spans="1:7">
      <c r="A159" s="489" t="s">
        <v>69</v>
      </c>
      <c r="B159" s="488"/>
      <c r="C159" s="487" t="s">
        <v>68</v>
      </c>
      <c r="D159" s="265">
        <f>D121-D123-D124-D142-D145</f>
        <v>0</v>
      </c>
      <c r="E159" s="265">
        <f>E121-E123-E124-E142-E145</f>
        <v>0</v>
      </c>
      <c r="F159" s="265">
        <f>F121-F123-F124-F142-F145</f>
        <v>0</v>
      </c>
      <c r="G159" s="265">
        <f>G121-G123-G124-G142-G145</f>
        <v>-82104</v>
      </c>
    </row>
    <row r="160" spans="1:7">
      <c r="A160" s="489" t="s">
        <v>66</v>
      </c>
      <c r="B160" s="488"/>
      <c r="C160" s="487" t="s">
        <v>67</v>
      </c>
      <c r="D160" s="276" t="str">
        <f>IF(D175=0,"-",1000*D158/D175)</f>
        <v>-</v>
      </c>
      <c r="E160" s="276" t="str">
        <f>IF(E175=0,"-",1000*E158/E175)</f>
        <v>-</v>
      </c>
      <c r="F160" s="276" t="str">
        <f>IF(F175=0,"-",1000*F158/F175)</f>
        <v>-</v>
      </c>
      <c r="G160" s="276">
        <f>IF(G175=0,"-",1000*G158/G175)</f>
        <v>-3277.3996729148325</v>
      </c>
    </row>
    <row r="161" spans="1:7">
      <c r="A161" s="489" t="s">
        <v>66</v>
      </c>
      <c r="B161" s="488"/>
      <c r="C161" s="487" t="s">
        <v>65</v>
      </c>
      <c r="D161" s="265">
        <f>IF(D175=0,0,1000*(D159/D175))</f>
        <v>0</v>
      </c>
      <c r="E161" s="265">
        <f>IF(E175=0,0,1000*(E159/E175))</f>
        <v>0</v>
      </c>
      <c r="F161" s="265">
        <f>IF(F175=0,0,1000*(F159/F175))</f>
        <v>0</v>
      </c>
      <c r="G161" s="265">
        <f>IF(G175=0,0,1000*(G159/G175))</f>
        <v>-5164.4231978865273</v>
      </c>
    </row>
    <row r="162" spans="1:7">
      <c r="A162" s="492" t="s">
        <v>64</v>
      </c>
      <c r="B162" s="491"/>
      <c r="C162" s="490" t="s">
        <v>63</v>
      </c>
      <c r="D162" s="273">
        <f>IF((D22+D23+D65+D66)=0,0,D158/(D22+D23+D65+D66))</f>
        <v>0</v>
      </c>
      <c r="E162" s="273">
        <f>IF((E22+E23+E65+E66)=0,0,E158/(E22+E23+E65+E66))</f>
        <v>0</v>
      </c>
      <c r="F162" s="273">
        <f>IF((F22+F23+F65+F66)=0,0,F158/(F22+F23+F65+F66))</f>
        <v>0</v>
      </c>
      <c r="G162" s="273">
        <f>IF((G22+G23+G65+G66)=0,0,G158/(G22+G23+G65+G66))</f>
        <v>-1.1736214974322012</v>
      </c>
    </row>
    <row r="163" spans="1:7">
      <c r="A163" s="489" t="s">
        <v>62</v>
      </c>
      <c r="B163" s="488"/>
      <c r="C163" s="487" t="s">
        <v>260</v>
      </c>
      <c r="D163" s="268">
        <f>D145</f>
        <v>0</v>
      </c>
      <c r="E163" s="268">
        <f>E145</f>
        <v>0</v>
      </c>
      <c r="F163" s="268">
        <f>F145</f>
        <v>0</v>
      </c>
      <c r="G163" s="268">
        <f>G145</f>
        <v>82104</v>
      </c>
    </row>
    <row r="164" spans="1:7" ht="25.5">
      <c r="A164" s="497" t="s">
        <v>60</v>
      </c>
      <c r="B164" s="496"/>
      <c r="C164" s="495" t="s">
        <v>59</v>
      </c>
      <c r="D164" s="274">
        <f>IF(D178=0,0,D146/D178)</f>
        <v>0</v>
      </c>
      <c r="E164" s="274">
        <f>IF(E178=0,0,E146/E178)</f>
        <v>0</v>
      </c>
      <c r="F164" s="274">
        <f>IF(F178=0,0,F146/F178)</f>
        <v>0</v>
      </c>
      <c r="G164" s="274">
        <f>IF(G178=0,0,G146/G178)</f>
        <v>0.45435688779995209</v>
      </c>
    </row>
    <row r="165" spans="1:7">
      <c r="A165" s="486" t="s">
        <v>58</v>
      </c>
      <c r="B165" s="485"/>
      <c r="C165" s="484" t="s">
        <v>57</v>
      </c>
      <c r="D165" s="262">
        <f>IF(D177=0,0,D180/D177)</f>
        <v>0</v>
      </c>
      <c r="E165" s="262">
        <f>IF(E177=0,0,E180/E177)</f>
        <v>0</v>
      </c>
      <c r="F165" s="262">
        <f>IF(F177=0,0,F180/F177)</f>
        <v>0</v>
      </c>
      <c r="G165" s="262">
        <f>IF(G177=0,0,G180/G177)</f>
        <v>1.8062604988891499E-2</v>
      </c>
    </row>
    <row r="166" spans="1:7">
      <c r="A166" s="489" t="s">
        <v>56</v>
      </c>
      <c r="B166" s="488"/>
      <c r="C166" s="487" t="s">
        <v>55</v>
      </c>
      <c r="D166" s="268">
        <f>D55</f>
        <v>0</v>
      </c>
      <c r="E166" s="268">
        <f>E55</f>
        <v>0</v>
      </c>
      <c r="F166" s="268">
        <f>F55</f>
        <v>0</v>
      </c>
      <c r="G166" s="268">
        <f>G55</f>
        <v>11785</v>
      </c>
    </row>
    <row r="167" spans="1:7">
      <c r="A167" s="492" t="s">
        <v>54</v>
      </c>
      <c r="B167" s="491"/>
      <c r="C167" s="490" t="s">
        <v>53</v>
      </c>
      <c r="D167" s="273">
        <f>IF(0=D111,0,(D44+D45+D46+D47+D48)/D111)</f>
        <v>0</v>
      </c>
      <c r="E167" s="273">
        <f>IF(0=E111,0,(E44+E45+E46+E47+E48)/E111)</f>
        <v>0</v>
      </c>
      <c r="F167" s="273">
        <f>IF(0=F111,0,(F44+F45+F46+F47+F48)/F111)</f>
        <v>0</v>
      </c>
      <c r="G167" s="273">
        <f>IF(0=G111,0,(G44+G45+G46+G47+G48)/G111)</f>
        <v>8.1993985823037505E-3</v>
      </c>
    </row>
    <row r="168" spans="1:7">
      <c r="A168" s="489" t="s">
        <v>52</v>
      </c>
      <c r="B168" s="494"/>
      <c r="C168" s="493" t="s">
        <v>51</v>
      </c>
      <c r="D168" s="268">
        <f>D38-D44</f>
        <v>0</v>
      </c>
      <c r="E168" s="268">
        <f>E38-E44</f>
        <v>0</v>
      </c>
      <c r="F168" s="268">
        <f>F38-F44</f>
        <v>0</v>
      </c>
      <c r="G168" s="268">
        <f>G38-G44</f>
        <v>-593</v>
      </c>
    </row>
    <row r="169" spans="1:7">
      <c r="A169" s="492" t="s">
        <v>50</v>
      </c>
      <c r="B169" s="491"/>
      <c r="C169" s="490" t="s">
        <v>49</v>
      </c>
      <c r="D169" s="269">
        <f>IF(D177=0,0,D168/D177)</f>
        <v>0</v>
      </c>
      <c r="E169" s="269">
        <f>IF(E177=0,0,E168/E177)</f>
        <v>0</v>
      </c>
      <c r="F169" s="269">
        <f>IF(F177=0,0,F168/F177)</f>
        <v>0</v>
      </c>
      <c r="G169" s="269">
        <f>IF(G177=0,0,G168/G177)</f>
        <v>-5.355562379206329E-3</v>
      </c>
    </row>
    <row r="170" spans="1:7">
      <c r="A170" s="489" t="s">
        <v>48</v>
      </c>
      <c r="B170" s="488"/>
      <c r="C170" s="487" t="s">
        <v>47</v>
      </c>
      <c r="D170" s="268">
        <f>SUM(D82:D87)+SUM(D89:D94)</f>
        <v>0</v>
      </c>
      <c r="E170" s="268">
        <f>SUM(E82:E87)+SUM(E89:E94)</f>
        <v>0</v>
      </c>
      <c r="F170" s="268">
        <f>SUM(F82:F87)+SUM(F89:F94)</f>
        <v>0</v>
      </c>
      <c r="G170" s="268">
        <f>SUM(G82:G87)+SUM(G89:G94)</f>
        <v>17104</v>
      </c>
    </row>
    <row r="171" spans="1:7">
      <c r="A171" s="489" t="s">
        <v>46</v>
      </c>
      <c r="B171" s="488"/>
      <c r="C171" s="487" t="s">
        <v>45</v>
      </c>
      <c r="D171" s="265">
        <f>SUM(D96:D102)+SUM(D104:D105)</f>
        <v>0</v>
      </c>
      <c r="E171" s="265">
        <f>SUM(E96:E102)+SUM(E104:E105)</f>
        <v>0</v>
      </c>
      <c r="F171" s="265">
        <f>SUM(F96:F102)+SUM(F104:F105)</f>
        <v>0</v>
      </c>
      <c r="G171" s="265">
        <f>SUM(G96:G102)+SUM(G104:G105)</f>
        <v>598</v>
      </c>
    </row>
    <row r="172" spans="1:7">
      <c r="A172" s="486" t="s">
        <v>44</v>
      </c>
      <c r="B172" s="485"/>
      <c r="C172" s="484" t="s">
        <v>43</v>
      </c>
      <c r="D172" s="262">
        <f>IF(D184=0,0,D170/D184)</f>
        <v>0</v>
      </c>
      <c r="E172" s="262">
        <f>IF(E184=0,0,E170/E184)</f>
        <v>0</v>
      </c>
      <c r="F172" s="262">
        <f>IF(F184=0,0,F170/F184)</f>
        <v>0</v>
      </c>
      <c r="G172" s="262">
        <f>IF(G184=0,0,G170/G184)</f>
        <v>0.13224285553024714</v>
      </c>
    </row>
    <row r="173" spans="1:7">
      <c r="C173" s="483"/>
    </row>
    <row r="174" spans="1:7">
      <c r="A174" s="479" t="s">
        <v>42</v>
      </c>
      <c r="B174" s="477"/>
      <c r="C174" s="482"/>
      <c r="D174" s="260"/>
      <c r="E174" s="260"/>
      <c r="F174" s="260"/>
      <c r="G174" s="260"/>
    </row>
    <row r="175" spans="1:7" s="480" customFormat="1">
      <c r="A175" s="478" t="s">
        <v>41</v>
      </c>
      <c r="B175" s="477"/>
      <c r="C175" s="476" t="s">
        <v>259</v>
      </c>
      <c r="D175" s="481"/>
      <c r="E175" s="481"/>
      <c r="F175" s="481"/>
      <c r="G175" s="481">
        <v>15898</v>
      </c>
    </row>
    <row r="176" spans="1:7">
      <c r="A176" s="479" t="s">
        <v>39</v>
      </c>
      <c r="B176" s="477"/>
      <c r="C176" s="476"/>
      <c r="D176" s="477"/>
      <c r="E176" s="477"/>
      <c r="F176" s="477"/>
      <c r="G176" s="477"/>
    </row>
    <row r="177" spans="1:7">
      <c r="A177" s="478" t="s">
        <v>38</v>
      </c>
      <c r="B177" s="477"/>
      <c r="C177" s="476" t="s">
        <v>37</v>
      </c>
      <c r="D177" s="475">
        <f>SUM(D22:D32)+SUM(D44:D53)+SUM(D65:D72)+D75</f>
        <v>0</v>
      </c>
      <c r="E177" s="475">
        <f>SUM(E22:E32)+SUM(E44:E53)+SUM(E65:E72)+E75</f>
        <v>0</v>
      </c>
      <c r="F177" s="475">
        <f>SUM(F22:F32)+SUM(F44:F53)+SUM(F65:F72)+F75</f>
        <v>0</v>
      </c>
      <c r="G177" s="475">
        <f>SUM(G22:G32)+SUM(G44:G53)+SUM(G65:G72)+G75</f>
        <v>110726</v>
      </c>
    </row>
    <row r="178" spans="1:7">
      <c r="A178" s="478" t="s">
        <v>36</v>
      </c>
      <c r="B178" s="477"/>
      <c r="C178" s="476" t="s">
        <v>35</v>
      </c>
      <c r="D178" s="475">
        <f>D78-D17-D20-D59-D63-D64</f>
        <v>0</v>
      </c>
      <c r="E178" s="475">
        <f>E78-E17-E20-E59-E63-E64</f>
        <v>0</v>
      </c>
      <c r="F178" s="475">
        <f>F78-F17-F20-F59-F63-F64</f>
        <v>0</v>
      </c>
      <c r="G178" s="475">
        <f>G78-G17-G20-G59-G63-G64</f>
        <v>115464.29999999999</v>
      </c>
    </row>
    <row r="179" spans="1:7">
      <c r="A179" s="478"/>
      <c r="B179" s="477"/>
      <c r="C179" s="476" t="s">
        <v>34</v>
      </c>
      <c r="D179" s="475">
        <f>D178+D170</f>
        <v>0</v>
      </c>
      <c r="E179" s="475">
        <f>E178+E170</f>
        <v>0</v>
      </c>
      <c r="F179" s="475">
        <f>F178+F170</f>
        <v>0</v>
      </c>
      <c r="G179" s="475">
        <f>G178+G170</f>
        <v>132568.29999999999</v>
      </c>
    </row>
    <row r="180" spans="1:7">
      <c r="A180" s="478" t="s">
        <v>33</v>
      </c>
      <c r="B180" s="477"/>
      <c r="C180" s="476" t="s">
        <v>32</v>
      </c>
      <c r="D180" s="475">
        <f>D38-D44+D8+D9+D10+D16-D33</f>
        <v>0</v>
      </c>
      <c r="E180" s="475">
        <f>E38-E44+E8+E9+E10+E16-E33</f>
        <v>0</v>
      </c>
      <c r="F180" s="475">
        <f>F38-F44+F8+F9+F10+F16-F33</f>
        <v>0</v>
      </c>
      <c r="G180" s="475">
        <f>G38-G44+G8+G9+G10+G16-G33</f>
        <v>2000</v>
      </c>
    </row>
    <row r="181" spans="1:7" ht="27.6" customHeight="1">
      <c r="A181" s="474" t="s">
        <v>31</v>
      </c>
      <c r="B181" s="472"/>
      <c r="C181" s="471" t="s">
        <v>30</v>
      </c>
      <c r="D181" s="249">
        <f>D22+D23+D24+D25+D26+D29+SUM(D44:D47)+SUM(D49:D53)-D54+D32-D33+SUM(D65:D70)+D72</f>
        <v>0</v>
      </c>
      <c r="E181" s="249">
        <f>E22+E23+E24+E25+E26+E29+SUM(E44:E47)+SUM(E49:E53)-E54+E32-E33+SUM(E65:E70)+E72</f>
        <v>0</v>
      </c>
      <c r="F181" s="249">
        <f>F22+F23+F24+F25+F26+F29+SUM(F44:F47)+SUM(F49:F53)-F54+F32-F33+SUM(F65:F70)+F72</f>
        <v>0</v>
      </c>
      <c r="G181" s="249">
        <f>G22+G23+G24+G25+G26+G29+SUM(G44:G47)+SUM(G49:G53)-G54+G32-G33+SUM(G65:G70)+G72</f>
        <v>109834</v>
      </c>
    </row>
    <row r="182" spans="1:7">
      <c r="A182" s="473" t="s">
        <v>29</v>
      </c>
      <c r="B182" s="472"/>
      <c r="C182" s="471" t="s">
        <v>28</v>
      </c>
      <c r="D182" s="249">
        <f>D181+D171</f>
        <v>0</v>
      </c>
      <c r="E182" s="249">
        <f>E181+E171</f>
        <v>0</v>
      </c>
      <c r="F182" s="249">
        <f>F181+F171</f>
        <v>0</v>
      </c>
      <c r="G182" s="249">
        <f>G181+G171</f>
        <v>110432</v>
      </c>
    </row>
    <row r="183" spans="1:7">
      <c r="A183" s="473" t="s">
        <v>27</v>
      </c>
      <c r="B183" s="472"/>
      <c r="C183" s="471" t="s">
        <v>26</v>
      </c>
      <c r="D183" s="249">
        <f>D4+D5-D7+D38+D39+D40+D41+D43+D13-D16+D57+D58+D60+D62</f>
        <v>0</v>
      </c>
      <c r="E183" s="249">
        <f>E4+E5-E7+E38+E39+E40+E41+E43+E13-E16+E57+E58+E60+E62</f>
        <v>0</v>
      </c>
      <c r="F183" s="249">
        <f>F4+F5-F7+F38+F39+F40+F41+F43+F13-F16+F57+F58+F60+F62</f>
        <v>0</v>
      </c>
      <c r="G183" s="249">
        <f>G4+G5-G7+G38+G39+G40+G41+G43+G13-G16+G57+G58+G60+G62</f>
        <v>112233.8</v>
      </c>
    </row>
    <row r="184" spans="1:7">
      <c r="A184" s="473" t="s">
        <v>25</v>
      </c>
      <c r="B184" s="472"/>
      <c r="C184" s="471" t="s">
        <v>24</v>
      </c>
      <c r="D184" s="249">
        <f>D183+D170</f>
        <v>0</v>
      </c>
      <c r="E184" s="249">
        <f>E183+E170</f>
        <v>0</v>
      </c>
      <c r="F184" s="249">
        <f>F183+F170</f>
        <v>0</v>
      </c>
      <c r="G184" s="249">
        <f>G183+G170</f>
        <v>129337.8</v>
      </c>
    </row>
    <row r="185" spans="1:7">
      <c r="A185" s="473"/>
      <c r="B185" s="472"/>
      <c r="C185" s="471" t="s">
        <v>23</v>
      </c>
      <c r="D185" s="249">
        <f t="shared" ref="D185:G186" si="0">D181-D183</f>
        <v>0</v>
      </c>
      <c r="E185" s="249">
        <f t="shared" si="0"/>
        <v>0</v>
      </c>
      <c r="F185" s="249">
        <f t="shared" si="0"/>
        <v>0</v>
      </c>
      <c r="G185" s="249">
        <f t="shared" si="0"/>
        <v>-2399.8000000000029</v>
      </c>
    </row>
    <row r="186" spans="1:7">
      <c r="A186" s="473"/>
      <c r="B186" s="472"/>
      <c r="C186" s="471" t="s">
        <v>22</v>
      </c>
      <c r="D186" s="249">
        <f t="shared" si="0"/>
        <v>0</v>
      </c>
      <c r="E186" s="249">
        <f t="shared" si="0"/>
        <v>0</v>
      </c>
      <c r="F186" s="249">
        <f t="shared" si="0"/>
        <v>0</v>
      </c>
      <c r="G186" s="249">
        <f t="shared" si="0"/>
        <v>-18905.800000000003</v>
      </c>
    </row>
  </sheetData>
  <sheetProtection selectLockedCells="1" sort="0" autoFilter="0" pivotTables="0"/>
  <mergeCells count="2">
    <mergeCell ref="A3:C3"/>
    <mergeCell ref="A81:C81"/>
  </mergeCells>
  <pageMargins left="0.23622047244094491" right="0.23622047244094491" top="0.74803149606299213" bottom="0.74803149606299213" header="0.31496062992125984" footer="0.31496062992125984"/>
  <pageSetup paperSize="9" fitToHeight="0" orientation="landscape" r:id="rId1"/>
  <headerFooter alignWithMargins="0">
    <oddHeader>&amp;LFachgruppe für kantonale Finanzfragen (FkF)
Groupe d'études pour les finances cantonales
&amp;CKanton VD&amp;RZürich, 11.05.2015</oddHeader>
    <oddFooter>&amp;L&amp;F / &amp;A</oddFooter>
  </headerFooter>
  <rowBreaks count="2" manualBreakCount="2">
    <brk id="79" max="16383" man="1"/>
    <brk id="148" max="3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0"/>
  <dimension ref="A1:I43"/>
  <sheetViews>
    <sheetView zoomScaleNormal="100" workbookViewId="0">
      <selection activeCell="N50" sqref="N50"/>
    </sheetView>
  </sheetViews>
  <sheetFormatPr baseColWidth="10" defaultRowHeight="12.75"/>
  <cols>
    <col min="1" max="1" width="11.5703125" bestFit="1" customWidth="1"/>
    <col min="2" max="2" width="52.42578125" bestFit="1" customWidth="1"/>
    <col min="3" max="3" width="12.28515625" bestFit="1" customWidth="1"/>
    <col min="4" max="4" width="11.5703125" bestFit="1" customWidth="1"/>
    <col min="5" max="5" width="12.28515625" bestFit="1" customWidth="1"/>
    <col min="6" max="6" width="11.5703125" bestFit="1" customWidth="1"/>
    <col min="7" max="7" width="12.28515625" bestFit="1" customWidth="1"/>
    <col min="8" max="8" width="11.5703125" style="65" bestFit="1" customWidth="1"/>
    <col min="9" max="9" width="12.28515625" bestFit="1" customWidth="1"/>
  </cols>
  <sheetData>
    <row r="1" spans="1:9">
      <c r="A1" s="5" t="s">
        <v>528</v>
      </c>
      <c r="B1" s="6" t="s">
        <v>513</v>
      </c>
      <c r="C1" s="54" t="s">
        <v>255</v>
      </c>
      <c r="D1" s="7" t="s">
        <v>530</v>
      </c>
      <c r="E1" s="54" t="s">
        <v>254</v>
      </c>
      <c r="F1" s="7" t="s">
        <v>530</v>
      </c>
      <c r="G1" s="54" t="s">
        <v>255</v>
      </c>
      <c r="H1" s="7" t="s">
        <v>530</v>
      </c>
      <c r="I1" s="55" t="s">
        <v>254</v>
      </c>
    </row>
    <row r="2" spans="1:9">
      <c r="A2" s="112">
        <v>0</v>
      </c>
      <c r="B2" s="115">
        <v>0</v>
      </c>
      <c r="C2" s="62">
        <v>2013</v>
      </c>
      <c r="D2" s="3" t="s">
        <v>531</v>
      </c>
      <c r="E2" s="62">
        <v>2014</v>
      </c>
      <c r="F2" s="3" t="s">
        <v>531</v>
      </c>
      <c r="G2" s="63">
        <v>2014</v>
      </c>
      <c r="H2" s="3" t="s">
        <v>531</v>
      </c>
      <c r="I2" s="64">
        <v>2015</v>
      </c>
    </row>
    <row r="3" spans="1:9">
      <c r="A3" s="112">
        <v>0</v>
      </c>
      <c r="B3" s="2" t="s">
        <v>532</v>
      </c>
      <c r="C3" s="114">
        <v>0</v>
      </c>
      <c r="D3" s="113">
        <v>0</v>
      </c>
      <c r="E3" s="114" t="s">
        <v>604</v>
      </c>
      <c r="F3" s="115">
        <v>0</v>
      </c>
      <c r="G3" s="116" t="s">
        <v>604</v>
      </c>
      <c r="H3" s="113">
        <v>0</v>
      </c>
      <c r="I3" s="105" t="s">
        <v>604</v>
      </c>
    </row>
    <row r="4" spans="1:9">
      <c r="A4" s="5" t="s">
        <v>533</v>
      </c>
      <c r="B4" s="9" t="s">
        <v>250</v>
      </c>
      <c r="C4" s="10">
        <v>693891.84975000005</v>
      </c>
      <c r="D4" s="11">
        <v>1.5523384881780665E-2</v>
      </c>
      <c r="E4" s="10">
        <v>704663.4</v>
      </c>
      <c r="F4" s="11">
        <v>2.7862948465891657E-2</v>
      </c>
      <c r="G4" s="10">
        <v>724297.4</v>
      </c>
      <c r="H4" s="241">
        <v>-2.6659076782548131E-2</v>
      </c>
      <c r="I4" s="12">
        <v>704988.3</v>
      </c>
    </row>
    <row r="5" spans="1:9">
      <c r="A5" s="13" t="s">
        <v>534</v>
      </c>
      <c r="B5" s="14" t="s">
        <v>535</v>
      </c>
      <c r="C5" s="15">
        <v>437494.69335000002</v>
      </c>
      <c r="D5" s="16">
        <v>1.6013695152172207E-2</v>
      </c>
      <c r="E5" s="15">
        <v>444500.6</v>
      </c>
      <c r="F5" s="16">
        <v>-5.3799252464451094E-2</v>
      </c>
      <c r="G5" s="15">
        <v>420586.8</v>
      </c>
      <c r="H5" s="41">
        <v>4.7249937468318105E-2</v>
      </c>
      <c r="I5" s="17">
        <v>440459.5</v>
      </c>
    </row>
    <row r="6" spans="1:9">
      <c r="A6" s="13" t="s">
        <v>248</v>
      </c>
      <c r="B6" s="14" t="s">
        <v>536</v>
      </c>
      <c r="C6" s="15">
        <v>67500.969299999997</v>
      </c>
      <c r="D6" s="16">
        <v>0.17102466556728402</v>
      </c>
      <c r="E6" s="15">
        <v>79045.3</v>
      </c>
      <c r="F6" s="16">
        <v>-4.3155000993101385E-2</v>
      </c>
      <c r="G6" s="15">
        <v>75634.100000000006</v>
      </c>
      <c r="H6" s="41">
        <v>2.9912433677402046E-2</v>
      </c>
      <c r="I6" s="17">
        <v>77896.5</v>
      </c>
    </row>
    <row r="7" spans="1:9">
      <c r="A7" s="13" t="s">
        <v>537</v>
      </c>
      <c r="B7" s="14" t="s">
        <v>538</v>
      </c>
      <c r="C7" s="15">
        <v>24702.00747</v>
      </c>
      <c r="D7" s="16">
        <v>0.12511503503322347</v>
      </c>
      <c r="E7" s="15">
        <v>27792.6</v>
      </c>
      <c r="F7" s="16">
        <v>8.82105308607328E-2</v>
      </c>
      <c r="G7" s="15">
        <v>30244.2</v>
      </c>
      <c r="H7" s="41">
        <v>-4.2189907486394083E-2</v>
      </c>
      <c r="I7" s="17">
        <v>28968.2</v>
      </c>
    </row>
    <row r="8" spans="1:9">
      <c r="A8" s="13" t="s">
        <v>539</v>
      </c>
      <c r="B8" s="14" t="s">
        <v>540</v>
      </c>
      <c r="C8" s="15">
        <v>32856.215969999997</v>
      </c>
      <c r="D8" s="16">
        <v>-0.99088148190060732</v>
      </c>
      <c r="E8" s="15">
        <v>299.60000000000002</v>
      </c>
      <c r="F8" s="16">
        <v>1.6688918558077435E-3</v>
      </c>
      <c r="G8" s="15">
        <v>300.10000000000002</v>
      </c>
      <c r="H8" s="41">
        <v>0.12462512495834713</v>
      </c>
      <c r="I8" s="17">
        <v>337.5</v>
      </c>
    </row>
    <row r="9" spans="1:9">
      <c r="A9" s="13" t="s">
        <v>541</v>
      </c>
      <c r="B9" s="14" t="s">
        <v>542</v>
      </c>
      <c r="C9" s="15">
        <v>107563.43513</v>
      </c>
      <c r="D9" s="16">
        <v>0.18953527139924842</v>
      </c>
      <c r="E9" s="15">
        <v>127950.5</v>
      </c>
      <c r="F9" s="16">
        <v>-1.6842450791517031E-2</v>
      </c>
      <c r="G9" s="15">
        <v>125795.5</v>
      </c>
      <c r="H9" s="41">
        <v>0.22526242989614095</v>
      </c>
      <c r="I9" s="17">
        <v>154132.5</v>
      </c>
    </row>
    <row r="10" spans="1:9">
      <c r="A10" s="13" t="s">
        <v>543</v>
      </c>
      <c r="B10" s="14" t="s">
        <v>544</v>
      </c>
      <c r="C10" s="15">
        <v>2763131.9858800001</v>
      </c>
      <c r="D10" s="16">
        <v>2.5839632158309978E-2</v>
      </c>
      <c r="E10" s="15">
        <v>2834530.3</v>
      </c>
      <c r="F10" s="16">
        <v>-1.7857985148367994E-3</v>
      </c>
      <c r="G10" s="15">
        <v>2829468.4</v>
      </c>
      <c r="H10" s="41">
        <v>1.6288466059560771E-2</v>
      </c>
      <c r="I10" s="17">
        <v>2875556.0999999996</v>
      </c>
    </row>
    <row r="11" spans="1:9">
      <c r="A11" s="13" t="s">
        <v>545</v>
      </c>
      <c r="B11" s="14" t="s">
        <v>546</v>
      </c>
      <c r="C11" s="15">
        <v>812540.87636999995</v>
      </c>
      <c r="D11" s="41">
        <v>-0.18020838166832473</v>
      </c>
      <c r="E11" s="15">
        <v>666114.19999999995</v>
      </c>
      <c r="F11" s="16">
        <v>-3.4126730821831951E-2</v>
      </c>
      <c r="G11" s="15">
        <v>643381.9</v>
      </c>
      <c r="H11" s="41">
        <v>3.4532988882652778E-2</v>
      </c>
      <c r="I11" s="17">
        <v>665599.80000000005</v>
      </c>
    </row>
    <row r="12" spans="1:9">
      <c r="A12" s="13" t="s">
        <v>547</v>
      </c>
      <c r="B12" s="14" t="s">
        <v>548</v>
      </c>
      <c r="C12" s="15">
        <v>83927.154219999997</v>
      </c>
      <c r="D12" s="41">
        <v>-1</v>
      </c>
      <c r="E12" s="15">
        <v>0</v>
      </c>
      <c r="F12" s="16" t="s">
        <v>555</v>
      </c>
      <c r="G12" s="15">
        <v>0</v>
      </c>
      <c r="H12" s="41" t="s">
        <v>555</v>
      </c>
      <c r="I12" s="17">
        <v>0</v>
      </c>
    </row>
    <row r="13" spans="1:9">
      <c r="A13" s="13" t="s">
        <v>549</v>
      </c>
      <c r="B13" s="14" t="s">
        <v>550</v>
      </c>
      <c r="C13" s="15">
        <v>393647.21139999997</v>
      </c>
      <c r="D13" s="41">
        <v>-1</v>
      </c>
      <c r="E13" s="15">
        <v>0</v>
      </c>
      <c r="F13" s="41" t="s">
        <v>555</v>
      </c>
      <c r="G13" s="15">
        <v>0</v>
      </c>
      <c r="H13" s="41" t="s">
        <v>555</v>
      </c>
      <c r="I13" s="17">
        <v>0</v>
      </c>
    </row>
    <row r="14" spans="1:9">
      <c r="A14" s="13" t="s">
        <v>551</v>
      </c>
      <c r="B14" s="14" t="s">
        <v>552</v>
      </c>
      <c r="C14" s="15">
        <v>0</v>
      </c>
      <c r="D14" s="41" t="s">
        <v>555</v>
      </c>
      <c r="E14" s="15">
        <v>0</v>
      </c>
      <c r="F14" s="16" t="s">
        <v>555</v>
      </c>
      <c r="G14" s="15">
        <v>0</v>
      </c>
      <c r="H14" s="41" t="s">
        <v>555</v>
      </c>
      <c r="I14" s="17">
        <v>0</v>
      </c>
    </row>
    <row r="15" spans="1:9">
      <c r="A15" s="13" t="s">
        <v>553</v>
      </c>
      <c r="B15" s="14" t="s">
        <v>554</v>
      </c>
      <c r="C15" s="15">
        <v>0</v>
      </c>
      <c r="D15" s="41" t="s">
        <v>555</v>
      </c>
      <c r="E15" s="15">
        <v>0</v>
      </c>
      <c r="F15" s="16" t="s">
        <v>555</v>
      </c>
      <c r="G15" s="15">
        <v>0</v>
      </c>
      <c r="H15" s="41" t="s">
        <v>555</v>
      </c>
      <c r="I15" s="17">
        <v>0</v>
      </c>
    </row>
    <row r="16" spans="1:9">
      <c r="A16" s="13" t="s">
        <v>556</v>
      </c>
      <c r="B16" s="14" t="s">
        <v>557</v>
      </c>
      <c r="C16" s="15">
        <v>1246.999</v>
      </c>
      <c r="D16" s="41">
        <v>-1</v>
      </c>
      <c r="E16" s="15">
        <v>0</v>
      </c>
      <c r="F16" s="41" t="s">
        <v>555</v>
      </c>
      <c r="G16" s="15">
        <v>0</v>
      </c>
      <c r="H16" s="41" t="s">
        <v>555</v>
      </c>
      <c r="I16" s="17">
        <v>0</v>
      </c>
    </row>
    <row r="17" spans="1:9">
      <c r="A17" s="13" t="s">
        <v>558</v>
      </c>
      <c r="B17" s="14" t="s">
        <v>559</v>
      </c>
      <c r="C17" s="15">
        <v>24836.292799999999</v>
      </c>
      <c r="D17" s="16">
        <v>-0.42241782557821994</v>
      </c>
      <c r="E17" s="15">
        <v>14345</v>
      </c>
      <c r="F17" s="16">
        <v>0.59776925758103872</v>
      </c>
      <c r="G17" s="15">
        <v>22920</v>
      </c>
      <c r="H17" s="41">
        <v>-0.34316753926701571</v>
      </c>
      <c r="I17" s="17">
        <v>15054.6</v>
      </c>
    </row>
    <row r="18" spans="1:9">
      <c r="A18" s="13">
        <v>389</v>
      </c>
      <c r="B18" s="14" t="s">
        <v>182</v>
      </c>
      <c r="C18" s="15">
        <v>0</v>
      </c>
      <c r="D18" s="41" t="s">
        <v>555</v>
      </c>
      <c r="E18" s="15">
        <v>0</v>
      </c>
      <c r="F18" s="41" t="s">
        <v>555</v>
      </c>
      <c r="G18" s="15">
        <v>190.7</v>
      </c>
      <c r="H18" s="41">
        <v>-1</v>
      </c>
      <c r="I18" s="17">
        <v>0</v>
      </c>
    </row>
    <row r="19" spans="1:9">
      <c r="A19" s="18" t="s">
        <v>560</v>
      </c>
      <c r="B19" s="19" t="s">
        <v>561</v>
      </c>
      <c r="C19" s="20">
        <v>390685.80796000001</v>
      </c>
      <c r="D19" s="41">
        <v>9.1680299898856843E-2</v>
      </c>
      <c r="E19" s="20">
        <v>426504</v>
      </c>
      <c r="F19" s="41">
        <v>8.1197362744545813E-3</v>
      </c>
      <c r="G19" s="20">
        <v>429967.1</v>
      </c>
      <c r="H19" s="41">
        <v>0.11495298128624261</v>
      </c>
      <c r="I19" s="21">
        <v>479393.1</v>
      </c>
    </row>
    <row r="20" spans="1:9">
      <c r="A20" s="22" t="s">
        <v>562</v>
      </c>
      <c r="B20" s="23" t="s">
        <v>563</v>
      </c>
      <c r="C20" s="24">
        <v>4475162.2883099997</v>
      </c>
      <c r="D20" s="25">
        <v>2.3557517001201865E-2</v>
      </c>
      <c r="E20" s="24">
        <v>4580586</v>
      </c>
      <c r="F20" s="25">
        <v>6.9515123174200555E-4</v>
      </c>
      <c r="G20" s="24">
        <v>4583770.2</v>
      </c>
      <c r="H20" s="242">
        <v>2.5114609803082978E-2</v>
      </c>
      <c r="I20" s="26">
        <v>4698889.8</v>
      </c>
    </row>
    <row r="21" spans="1:9">
      <c r="A21" s="27" t="s">
        <v>564</v>
      </c>
      <c r="B21" s="28" t="s">
        <v>565</v>
      </c>
      <c r="C21" s="10">
        <v>1728322.9616</v>
      </c>
      <c r="D21" s="16">
        <v>-4.9830363603033695E-2</v>
      </c>
      <c r="E21" s="10">
        <v>1642200</v>
      </c>
      <c r="F21" s="16">
        <v>3.3132931433442883E-2</v>
      </c>
      <c r="G21" s="10">
        <v>1696610.9</v>
      </c>
      <c r="H21" s="41">
        <v>2.1919639912722531E-2</v>
      </c>
      <c r="I21" s="12">
        <v>1733800</v>
      </c>
    </row>
    <row r="22" spans="1:9">
      <c r="A22" s="8" t="s">
        <v>566</v>
      </c>
      <c r="B22" s="29" t="s">
        <v>567</v>
      </c>
      <c r="C22" s="15">
        <v>202876.42235000001</v>
      </c>
      <c r="D22" s="16">
        <v>0.54326459611880074</v>
      </c>
      <c r="E22" s="15">
        <v>313092</v>
      </c>
      <c r="F22" s="16">
        <v>7.2867719392383221E-2</v>
      </c>
      <c r="G22" s="15">
        <v>335906.30000000005</v>
      </c>
      <c r="H22" s="41">
        <v>-3.267667203621976E-2</v>
      </c>
      <c r="I22" s="17">
        <v>324930</v>
      </c>
    </row>
    <row r="23" spans="1:9">
      <c r="A23" s="8" t="s">
        <v>568</v>
      </c>
      <c r="B23" s="29" t="s">
        <v>569</v>
      </c>
      <c r="C23" s="15">
        <v>173927.48337999999</v>
      </c>
      <c r="D23" s="16">
        <v>-0.31897077047214617</v>
      </c>
      <c r="E23" s="15">
        <v>118449.7</v>
      </c>
      <c r="F23" s="16">
        <v>6.1076558235267676E-2</v>
      </c>
      <c r="G23" s="15">
        <v>125684.19999999998</v>
      </c>
      <c r="H23" s="41">
        <v>-0.1023040286686789</v>
      </c>
      <c r="I23" s="17">
        <v>112826.20000000001</v>
      </c>
    </row>
    <row r="24" spans="1:9">
      <c r="A24" s="8" t="s">
        <v>570</v>
      </c>
      <c r="B24" s="29" t="s">
        <v>571</v>
      </c>
      <c r="C24" s="15">
        <v>342020.59692000004</v>
      </c>
      <c r="D24" s="16">
        <v>-2.764736768824366E-3</v>
      </c>
      <c r="E24" s="15">
        <v>341075.00000000006</v>
      </c>
      <c r="F24" s="16">
        <v>5.2313127611229054E-2</v>
      </c>
      <c r="G24" s="15">
        <v>358917.7</v>
      </c>
      <c r="H24" s="41">
        <v>-5.0949841704658168E-2</v>
      </c>
      <c r="I24" s="17">
        <v>340630.9</v>
      </c>
    </row>
    <row r="25" spans="1:9">
      <c r="A25" s="8" t="s">
        <v>572</v>
      </c>
      <c r="B25" s="29" t="s">
        <v>573</v>
      </c>
      <c r="C25" s="15">
        <v>1532416.55865</v>
      </c>
      <c r="D25" s="16">
        <v>5.6325964936087575E-2</v>
      </c>
      <c r="E25" s="15">
        <v>1618731.4</v>
      </c>
      <c r="F25" s="16">
        <v>-2.5859694820277106E-2</v>
      </c>
      <c r="G25" s="15">
        <v>1576871.5</v>
      </c>
      <c r="H25" s="41">
        <v>8.9899525738146701E-3</v>
      </c>
      <c r="I25" s="17">
        <v>1591047.5</v>
      </c>
    </row>
    <row r="26" spans="1:9">
      <c r="A26" s="56" t="s">
        <v>574</v>
      </c>
      <c r="B26" s="29" t="s">
        <v>575</v>
      </c>
      <c r="C26" s="15">
        <v>178296.57104000001</v>
      </c>
      <c r="D26" s="16">
        <v>-0.91657214766815187</v>
      </c>
      <c r="E26" s="15">
        <v>14874.900000000001</v>
      </c>
      <c r="F26" s="16">
        <v>-0.50727735984779732</v>
      </c>
      <c r="G26" s="15">
        <v>7329.2</v>
      </c>
      <c r="H26" s="41">
        <v>4.5227855700485744</v>
      </c>
      <c r="I26" s="17">
        <v>40477.600000000006</v>
      </c>
    </row>
    <row r="27" spans="1:9">
      <c r="A27" s="150">
        <v>489</v>
      </c>
      <c r="B27" s="29" t="s">
        <v>170</v>
      </c>
      <c r="C27" s="15">
        <v>0</v>
      </c>
      <c r="D27" s="16" t="s">
        <v>555</v>
      </c>
      <c r="E27" s="15">
        <v>75600</v>
      </c>
      <c r="F27" s="16">
        <v>9.0291005291006053E-3</v>
      </c>
      <c r="G27" s="15">
        <v>76282.600000000006</v>
      </c>
      <c r="H27" s="41">
        <v>-1</v>
      </c>
      <c r="I27" s="17">
        <v>0</v>
      </c>
    </row>
    <row r="28" spans="1:9">
      <c r="A28" s="30" t="s">
        <v>576</v>
      </c>
      <c r="B28" s="31" t="s">
        <v>577</v>
      </c>
      <c r="C28" s="20">
        <v>390685.80796000001</v>
      </c>
      <c r="D28" s="16">
        <v>9.1680299898856843E-2</v>
      </c>
      <c r="E28" s="20">
        <v>426504</v>
      </c>
      <c r="F28" s="16">
        <v>8.1197362744545813E-3</v>
      </c>
      <c r="G28" s="20">
        <v>429967.1</v>
      </c>
      <c r="H28" s="41">
        <v>0.11495298128624261</v>
      </c>
      <c r="I28" s="21">
        <v>479393.1</v>
      </c>
    </row>
    <row r="29" spans="1:9">
      <c r="A29" s="48" t="s">
        <v>578</v>
      </c>
      <c r="B29" s="49" t="s">
        <v>579</v>
      </c>
      <c r="C29" s="24">
        <v>4548546.4018999999</v>
      </c>
      <c r="D29" s="50">
        <v>4.3543539517871773E-4</v>
      </c>
      <c r="E29" s="24">
        <v>4550527</v>
      </c>
      <c r="F29" s="50">
        <v>1.253536128892324E-2</v>
      </c>
      <c r="G29" s="24">
        <v>4607569.5</v>
      </c>
      <c r="H29" s="243">
        <v>3.3717993836012271E-3</v>
      </c>
      <c r="I29" s="26">
        <v>4623105.3</v>
      </c>
    </row>
    <row r="30" spans="1:9">
      <c r="A30" s="47" t="s">
        <v>580</v>
      </c>
      <c r="B30" s="32" t="s">
        <v>581</v>
      </c>
      <c r="C30" s="33">
        <v>73384.113590000197</v>
      </c>
      <c r="D30" s="117">
        <v>0</v>
      </c>
      <c r="E30" s="33">
        <v>-30059</v>
      </c>
      <c r="F30" s="117">
        <v>0</v>
      </c>
      <c r="G30" s="34">
        <v>23799.299999999814</v>
      </c>
      <c r="H30" s="244">
        <v>0</v>
      </c>
      <c r="I30" s="35">
        <v>-75784.5</v>
      </c>
    </row>
    <row r="31" spans="1:9">
      <c r="A31" s="120">
        <v>0</v>
      </c>
      <c r="B31" s="28" t="s">
        <v>582</v>
      </c>
      <c r="C31" s="118">
        <v>0</v>
      </c>
      <c r="D31" s="123">
        <v>0</v>
      </c>
      <c r="E31" s="118">
        <v>0</v>
      </c>
      <c r="F31" s="123">
        <v>0</v>
      </c>
      <c r="G31" s="118">
        <v>0</v>
      </c>
      <c r="H31" s="245">
        <v>0</v>
      </c>
      <c r="I31" s="119">
        <v>0</v>
      </c>
    </row>
    <row r="32" spans="1:9">
      <c r="A32" s="56" t="s">
        <v>583</v>
      </c>
      <c r="B32" s="29" t="s">
        <v>584</v>
      </c>
      <c r="C32" s="15">
        <v>122936.52635</v>
      </c>
      <c r="D32" s="16">
        <v>0.2812872193212087</v>
      </c>
      <c r="E32" s="15">
        <v>157517</v>
      </c>
      <c r="F32" s="16">
        <v>-0.20996781299796213</v>
      </c>
      <c r="G32" s="15">
        <v>124443.5</v>
      </c>
      <c r="H32" s="41">
        <v>1.2663136282730718</v>
      </c>
      <c r="I32" s="17">
        <v>282028</v>
      </c>
    </row>
    <row r="33" spans="1:9">
      <c r="A33" s="56" t="s">
        <v>585</v>
      </c>
      <c r="B33" s="29" t="s">
        <v>586</v>
      </c>
      <c r="C33" s="15">
        <v>7551.4880700000003</v>
      </c>
      <c r="D33" s="16">
        <v>43.01913860138032</v>
      </c>
      <c r="E33" s="15">
        <v>332410</v>
      </c>
      <c r="F33" s="16">
        <v>-0.12370867302427725</v>
      </c>
      <c r="G33" s="15">
        <v>291288</v>
      </c>
      <c r="H33" s="41">
        <v>-0.65274230315014692</v>
      </c>
      <c r="I33" s="17">
        <v>101152</v>
      </c>
    </row>
    <row r="34" spans="1:9">
      <c r="A34" s="8" t="s">
        <v>587</v>
      </c>
      <c r="B34" s="29" t="s">
        <v>588</v>
      </c>
      <c r="C34" s="15">
        <v>18511.96</v>
      </c>
      <c r="D34" s="16">
        <v>0.17323611330188712</v>
      </c>
      <c r="E34" s="15">
        <v>21718.9</v>
      </c>
      <c r="F34" s="16">
        <v>-0.3833895823453306</v>
      </c>
      <c r="G34" s="15">
        <v>13392.1</v>
      </c>
      <c r="H34" s="41">
        <v>0.28676607850897168</v>
      </c>
      <c r="I34" s="17">
        <v>17232.5</v>
      </c>
    </row>
    <row r="35" spans="1:9">
      <c r="A35" s="48" t="s">
        <v>589</v>
      </c>
      <c r="B35" s="49" t="s">
        <v>590</v>
      </c>
      <c r="C35" s="24">
        <v>148999.97442000001</v>
      </c>
      <c r="D35" s="51">
        <v>2.4338656901898279</v>
      </c>
      <c r="E35" s="24">
        <v>511645.9</v>
      </c>
      <c r="F35" s="51">
        <v>-0.16128791416094615</v>
      </c>
      <c r="G35" s="24">
        <v>429123.6</v>
      </c>
      <c r="H35" s="243">
        <v>-6.6906364506636271E-2</v>
      </c>
      <c r="I35" s="26">
        <v>400412.5</v>
      </c>
    </row>
    <row r="36" spans="1:9">
      <c r="A36" s="8" t="s">
        <v>591</v>
      </c>
      <c r="B36" s="29" t="s">
        <v>592</v>
      </c>
      <c r="C36" s="15">
        <v>218.1</v>
      </c>
      <c r="D36" s="16">
        <v>-1</v>
      </c>
      <c r="E36" s="15">
        <v>0</v>
      </c>
      <c r="F36" s="16" t="s">
        <v>555</v>
      </c>
      <c r="G36" s="15">
        <v>7.2</v>
      </c>
      <c r="H36" s="41">
        <v>9532.3333333333339</v>
      </c>
      <c r="I36" s="17">
        <v>68640</v>
      </c>
    </row>
    <row r="37" spans="1:9">
      <c r="A37" s="8" t="s">
        <v>593</v>
      </c>
      <c r="B37" s="29" t="s">
        <v>594</v>
      </c>
      <c r="C37" s="15">
        <v>33900.612099999998</v>
      </c>
      <c r="D37" s="16">
        <v>0.75254652702863722</v>
      </c>
      <c r="E37" s="15">
        <v>59412.399999999994</v>
      </c>
      <c r="F37" s="16">
        <v>-0.18883263426490096</v>
      </c>
      <c r="G37" s="15">
        <v>48193.399999999994</v>
      </c>
      <c r="H37" s="41">
        <v>0.18018027364742892</v>
      </c>
      <c r="I37" s="17">
        <v>56876.899999999994</v>
      </c>
    </row>
    <row r="38" spans="1:9">
      <c r="A38" s="48" t="s">
        <v>595</v>
      </c>
      <c r="B38" s="49" t="s">
        <v>596</v>
      </c>
      <c r="C38" s="24">
        <v>34118.712099999997</v>
      </c>
      <c r="D38" s="51">
        <v>0.74134357199256651</v>
      </c>
      <c r="E38" s="24">
        <v>59412.399999999994</v>
      </c>
      <c r="F38" s="51">
        <v>-0.1887114474419482</v>
      </c>
      <c r="G38" s="24">
        <v>48200.599999999991</v>
      </c>
      <c r="H38" s="243">
        <v>1.6040526466475524</v>
      </c>
      <c r="I38" s="26">
        <v>125516.9</v>
      </c>
    </row>
    <row r="39" spans="1:9">
      <c r="A39" s="36" t="s">
        <v>597</v>
      </c>
      <c r="B39" s="37" t="s">
        <v>3</v>
      </c>
      <c r="C39" s="38">
        <v>114881.26232000001</v>
      </c>
      <c r="D39" s="39">
        <v>2.9365296904582272</v>
      </c>
      <c r="E39" s="38">
        <v>452233.5</v>
      </c>
      <c r="F39" s="39">
        <v>-0.15768513389653796</v>
      </c>
      <c r="G39" s="38">
        <v>380923</v>
      </c>
      <c r="H39" s="246">
        <v>-0.27834339223412613</v>
      </c>
      <c r="I39" s="40">
        <v>274895.59999999998</v>
      </c>
    </row>
    <row r="40" spans="1:9">
      <c r="A40" s="112" t="s">
        <v>0</v>
      </c>
      <c r="B40" s="29" t="s">
        <v>85</v>
      </c>
      <c r="C40" s="15">
        <v>180947.5487200002</v>
      </c>
      <c r="D40" s="16">
        <v>-0.87680684177438595</v>
      </c>
      <c r="E40" s="15">
        <v>22291.5</v>
      </c>
      <c r="F40" s="16">
        <v>2.2973510082318294</v>
      </c>
      <c r="G40" s="15">
        <v>73502.89999999982</v>
      </c>
      <c r="H40" s="41">
        <v>6.5917127079342344E-2</v>
      </c>
      <c r="I40" s="17">
        <v>78348</v>
      </c>
    </row>
    <row r="41" spans="1:9">
      <c r="A41" s="112" t="s">
        <v>0</v>
      </c>
      <c r="B41" s="29" t="s">
        <v>598</v>
      </c>
      <c r="C41" s="15">
        <v>66066.286400000186</v>
      </c>
      <c r="D41" s="16">
        <v>-7.5077367508884052</v>
      </c>
      <c r="E41" s="15">
        <v>-429942</v>
      </c>
      <c r="F41" s="16">
        <v>-0.28497308939345256</v>
      </c>
      <c r="G41" s="15">
        <v>-307420.10000000021</v>
      </c>
      <c r="H41" s="41">
        <v>-0.36065468718538624</v>
      </c>
      <c r="I41" s="17">
        <v>-196547.59999999998</v>
      </c>
    </row>
    <row r="42" spans="1:9">
      <c r="A42" s="121" t="s">
        <v>0</v>
      </c>
      <c r="B42" s="31" t="s">
        <v>599</v>
      </c>
      <c r="C42" s="20">
        <v>4068220.5108699994</v>
      </c>
      <c r="D42" s="111">
        <v>0.11182095167027148</v>
      </c>
      <c r="E42" s="20">
        <v>4523132.8000000007</v>
      </c>
      <c r="F42" s="111">
        <v>-1.976780341271438E-2</v>
      </c>
      <c r="G42" s="20">
        <v>4433720.4000000004</v>
      </c>
      <c r="H42" s="247">
        <v>3.7585139559093948E-3</v>
      </c>
      <c r="I42" s="21">
        <v>4450384.6000000006</v>
      </c>
    </row>
    <row r="43" spans="1:9">
      <c r="A43" s="121">
        <v>0</v>
      </c>
      <c r="B43" s="31" t="s">
        <v>5</v>
      </c>
      <c r="C43" s="60">
        <v>1.5750832212826278</v>
      </c>
      <c r="D43" s="122">
        <v>0</v>
      </c>
      <c r="E43" s="60">
        <v>4.9292013970658966E-2</v>
      </c>
      <c r="F43" s="167">
        <v>0</v>
      </c>
      <c r="G43" s="60">
        <v>0.19295999453957838</v>
      </c>
      <c r="H43" s="167">
        <v>0</v>
      </c>
      <c r="I43" s="168">
        <v>0.28501001834878409</v>
      </c>
    </row>
  </sheetData>
  <phoneticPr fontId="7" type="noConversion"/>
  <pageMargins left="0.23622047244094491" right="0.23622047244094491" top="0.74803149606299213" bottom="0.74803149606299213" header="0.31496062992125984" footer="0.31496062992125984"/>
  <pageSetup paperSize="9" orientation="landscape" r:id="rId1"/>
  <headerFooter alignWithMargins="0">
    <oddHeader>&amp;LFachgruppe für kantonale Finanzfragen (FkF)
Groupe d'études pour les finances cantonales
&amp;CKanton VD&amp;RZürich, 11.05.2015</oddHeader>
    <oddFooter>&amp;L&amp;F / &amp;A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9">
    <tabColor rgb="FF00B050"/>
  </sheetPr>
  <dimension ref="A1:AN193"/>
  <sheetViews>
    <sheetView zoomScale="115" zoomScaleNormal="115" workbookViewId="0">
      <selection activeCell="G10" sqref="G10"/>
    </sheetView>
  </sheetViews>
  <sheetFormatPr baseColWidth="10" defaultColWidth="11.42578125" defaultRowHeight="12.75"/>
  <cols>
    <col min="1" max="1" width="15.140625" style="470" customWidth="1"/>
    <col min="2" max="2" width="3.7109375" style="470" customWidth="1"/>
    <col min="3" max="3" width="44.7109375" style="470" customWidth="1"/>
    <col min="4" max="16384" width="11.42578125" style="470"/>
  </cols>
  <sheetData>
    <row r="1" spans="1:40" s="642" customFormat="1" ht="18" customHeight="1">
      <c r="A1" s="752" t="s">
        <v>258</v>
      </c>
      <c r="B1" s="810" t="s">
        <v>514</v>
      </c>
      <c r="C1" s="810" t="s">
        <v>513</v>
      </c>
      <c r="D1" s="643" t="s">
        <v>255</v>
      </c>
      <c r="E1" s="644" t="s">
        <v>254</v>
      </c>
      <c r="F1" s="643" t="s">
        <v>255</v>
      </c>
      <c r="G1" s="644" t="s">
        <v>254</v>
      </c>
      <c r="H1" s="608"/>
      <c r="I1" s="608"/>
      <c r="J1" s="608"/>
      <c r="K1" s="608"/>
      <c r="L1" s="608"/>
      <c r="M1" s="608"/>
      <c r="N1" s="608"/>
      <c r="O1" s="608"/>
      <c r="P1" s="608"/>
      <c r="Q1" s="608"/>
      <c r="R1" s="608"/>
      <c r="S1" s="608"/>
      <c r="T1" s="608"/>
      <c r="U1" s="608"/>
      <c r="V1" s="608"/>
      <c r="W1" s="608"/>
      <c r="X1" s="608"/>
      <c r="Y1" s="608"/>
      <c r="Z1" s="608"/>
      <c r="AA1" s="608"/>
      <c r="AB1" s="608"/>
      <c r="AC1" s="608"/>
      <c r="AD1" s="608"/>
      <c r="AE1" s="608"/>
      <c r="AF1" s="608"/>
      <c r="AG1" s="608"/>
      <c r="AH1" s="608"/>
      <c r="AI1" s="608"/>
      <c r="AJ1" s="608"/>
      <c r="AK1" s="608"/>
      <c r="AL1" s="608"/>
      <c r="AM1" s="608"/>
      <c r="AN1" s="608"/>
    </row>
    <row r="2" spans="1:40" s="636" customFormat="1" ht="15" customHeight="1">
      <c r="A2" s="641"/>
      <c r="B2" s="640"/>
      <c r="C2" s="639" t="s">
        <v>253</v>
      </c>
      <c r="D2" s="637">
        <v>2013</v>
      </c>
      <c r="E2" s="638">
        <v>2014</v>
      </c>
      <c r="F2" s="637">
        <v>2014</v>
      </c>
      <c r="G2" s="638">
        <v>2015</v>
      </c>
    </row>
    <row r="3" spans="1:40" ht="15" customHeight="1">
      <c r="A3" s="949" t="s">
        <v>252</v>
      </c>
      <c r="B3" s="950"/>
      <c r="C3" s="950"/>
      <c r="D3" s="512"/>
      <c r="E3" s="635" t="s">
        <v>251</v>
      </c>
      <c r="F3" s="516"/>
      <c r="G3" s="757" t="s">
        <v>251</v>
      </c>
    </row>
    <row r="4" spans="1:40" s="480" customFormat="1" ht="12.75" customHeight="1">
      <c r="A4" s="670">
        <v>30</v>
      </c>
      <c r="B4" s="669"/>
      <c r="C4" s="632" t="s">
        <v>250</v>
      </c>
      <c r="D4" s="411"/>
      <c r="E4" s="795">
        <v>704663.4</v>
      </c>
      <c r="F4" s="411">
        <v>699397.4</v>
      </c>
      <c r="G4" s="453">
        <v>704988.3</v>
      </c>
    </row>
    <row r="5" spans="1:40" s="480" customFormat="1" ht="12.75" customHeight="1">
      <c r="A5" s="591">
        <v>31</v>
      </c>
      <c r="B5" s="587"/>
      <c r="C5" s="585" t="s">
        <v>249</v>
      </c>
      <c r="D5" s="317"/>
      <c r="E5" s="363">
        <v>443710.8</v>
      </c>
      <c r="F5" s="317">
        <v>411371</v>
      </c>
      <c r="G5" s="361">
        <v>439659.6</v>
      </c>
    </row>
    <row r="6" spans="1:40" s="480" customFormat="1" ht="12.75" customHeight="1">
      <c r="A6" s="630" t="s">
        <v>248</v>
      </c>
      <c r="B6" s="586"/>
      <c r="C6" s="616" t="s">
        <v>247</v>
      </c>
      <c r="D6" s="322"/>
      <c r="E6" s="425">
        <v>79045.3</v>
      </c>
      <c r="F6" s="322">
        <v>75634.100000000006</v>
      </c>
      <c r="G6" s="361">
        <v>77896.5</v>
      </c>
    </row>
    <row r="7" spans="1:40" s="480" customFormat="1" ht="12.75" customHeight="1">
      <c r="A7" s="630" t="s">
        <v>246</v>
      </c>
      <c r="B7" s="586"/>
      <c r="C7" s="616" t="s">
        <v>245</v>
      </c>
      <c r="D7" s="322"/>
      <c r="E7" s="425">
        <v>0</v>
      </c>
      <c r="F7" s="322">
        <v>2035</v>
      </c>
      <c r="G7" s="361">
        <v>0</v>
      </c>
    </row>
    <row r="8" spans="1:40" s="480" customFormat="1" ht="12.75" customHeight="1">
      <c r="A8" s="593">
        <v>330</v>
      </c>
      <c r="B8" s="587"/>
      <c r="C8" s="585" t="s">
        <v>244</v>
      </c>
      <c r="D8" s="317"/>
      <c r="E8" s="369">
        <v>105449.60000000001</v>
      </c>
      <c r="F8" s="317">
        <v>104132.3</v>
      </c>
      <c r="G8" s="361">
        <v>134065.9</v>
      </c>
    </row>
    <row r="9" spans="1:40" s="480" customFormat="1" ht="12.75" customHeight="1">
      <c r="A9" s="593">
        <v>332</v>
      </c>
      <c r="B9" s="587"/>
      <c r="C9" s="585" t="s">
        <v>243</v>
      </c>
      <c r="D9" s="317"/>
      <c r="E9" s="369">
        <v>0</v>
      </c>
      <c r="F9" s="317">
        <v>0</v>
      </c>
      <c r="G9" s="361">
        <v>0</v>
      </c>
    </row>
    <row r="10" spans="1:40" s="480" customFormat="1" ht="12.75" customHeight="1">
      <c r="A10" s="593">
        <v>339</v>
      </c>
      <c r="B10" s="587"/>
      <c r="C10" s="585" t="s">
        <v>242</v>
      </c>
      <c r="D10" s="317"/>
      <c r="E10" s="369">
        <v>0</v>
      </c>
      <c r="F10" s="317">
        <v>0</v>
      </c>
      <c r="G10" s="361">
        <v>0</v>
      </c>
    </row>
    <row r="11" spans="1:40" s="480" customFormat="1" ht="12.75" customHeight="1">
      <c r="A11" s="591">
        <v>350</v>
      </c>
      <c r="B11" s="587"/>
      <c r="C11" s="585" t="s">
        <v>241</v>
      </c>
      <c r="D11" s="317"/>
      <c r="E11" s="369">
        <v>13717.6</v>
      </c>
      <c r="F11" s="317">
        <v>14502.3</v>
      </c>
      <c r="G11" s="361">
        <v>14140.7</v>
      </c>
    </row>
    <row r="12" spans="1:40" s="579" customFormat="1">
      <c r="A12" s="597">
        <v>351</v>
      </c>
      <c r="B12" s="596"/>
      <c r="C12" s="589" t="s">
        <v>240</v>
      </c>
      <c r="D12" s="450"/>
      <c r="E12" s="402">
        <v>627.4</v>
      </c>
      <c r="F12" s="450">
        <v>8417.7000000000007</v>
      </c>
      <c r="G12" s="361">
        <v>913.9</v>
      </c>
    </row>
    <row r="13" spans="1:40" s="480" customFormat="1" ht="12.75" customHeight="1">
      <c r="A13" s="591">
        <v>36</v>
      </c>
      <c r="B13" s="587"/>
      <c r="C13" s="585" t="s">
        <v>239</v>
      </c>
      <c r="D13" s="362"/>
      <c r="E13" s="369">
        <v>2593190.2999999998</v>
      </c>
      <c r="F13" s="362">
        <v>2586473.1</v>
      </c>
      <c r="G13" s="361">
        <v>2639610.2999999998</v>
      </c>
    </row>
    <row r="14" spans="1:40" s="480" customFormat="1" ht="12.75" customHeight="1">
      <c r="A14" s="629" t="s">
        <v>238</v>
      </c>
      <c r="B14" s="587"/>
      <c r="C14" s="627" t="s">
        <v>237</v>
      </c>
      <c r="D14" s="362"/>
      <c r="E14" s="369">
        <v>666114.19999999995</v>
      </c>
      <c r="F14" s="362">
        <v>643381.9</v>
      </c>
      <c r="G14" s="361">
        <v>665599.80000000005</v>
      </c>
    </row>
    <row r="15" spans="1:40" s="480" customFormat="1" ht="12.75" customHeight="1">
      <c r="A15" s="629" t="s">
        <v>236</v>
      </c>
      <c r="B15" s="587"/>
      <c r="C15" s="627" t="s">
        <v>235</v>
      </c>
      <c r="D15" s="362"/>
      <c r="E15" s="369">
        <v>0</v>
      </c>
      <c r="F15" s="362">
        <v>0</v>
      </c>
      <c r="G15" s="361">
        <v>0</v>
      </c>
    </row>
    <row r="16" spans="1:40" s="626" customFormat="1" ht="26.25" customHeight="1">
      <c r="A16" s="629" t="s">
        <v>234</v>
      </c>
      <c r="B16" s="668"/>
      <c r="C16" s="627" t="s">
        <v>233</v>
      </c>
      <c r="D16" s="444"/>
      <c r="E16" s="794">
        <v>22500.9</v>
      </c>
      <c r="F16" s="444">
        <v>21663.200000000001</v>
      </c>
      <c r="G16" s="361">
        <v>20066.599999999999</v>
      </c>
    </row>
    <row r="17" spans="1:7" s="622" customFormat="1">
      <c r="A17" s="591">
        <v>37</v>
      </c>
      <c r="B17" s="587"/>
      <c r="C17" s="585" t="s">
        <v>211</v>
      </c>
      <c r="D17" s="362"/>
      <c r="E17" s="432">
        <v>263840.90000000002</v>
      </c>
      <c r="F17" s="362">
        <v>264658.5</v>
      </c>
      <c r="G17" s="361">
        <v>256012.4</v>
      </c>
    </row>
    <row r="18" spans="1:7" s="622" customFormat="1">
      <c r="A18" s="593" t="s">
        <v>232</v>
      </c>
      <c r="B18" s="587"/>
      <c r="C18" s="585" t="s">
        <v>231</v>
      </c>
      <c r="D18" s="362"/>
      <c r="E18" s="432">
        <v>0</v>
      </c>
      <c r="F18" s="362">
        <v>0</v>
      </c>
      <c r="G18" s="361">
        <v>0</v>
      </c>
    </row>
    <row r="19" spans="1:7" s="622" customFormat="1">
      <c r="A19" s="593" t="s">
        <v>230</v>
      </c>
      <c r="B19" s="587"/>
      <c r="C19" s="585" t="s">
        <v>229</v>
      </c>
      <c r="D19" s="362"/>
      <c r="E19" s="432">
        <v>0</v>
      </c>
      <c r="F19" s="362">
        <v>0</v>
      </c>
      <c r="G19" s="361">
        <v>0</v>
      </c>
    </row>
    <row r="20" spans="1:7" s="480" customFormat="1" ht="12.75" customHeight="1">
      <c r="A20" s="615">
        <v>39</v>
      </c>
      <c r="B20" s="614"/>
      <c r="C20" s="583" t="s">
        <v>228</v>
      </c>
      <c r="D20" s="355"/>
      <c r="E20" s="373">
        <v>426504</v>
      </c>
      <c r="F20" s="355">
        <v>429967.1</v>
      </c>
      <c r="G20" s="354">
        <v>479393.1</v>
      </c>
    </row>
    <row r="21" spans="1:7" ht="12.75" customHeight="1">
      <c r="A21" s="578"/>
      <c r="B21" s="578"/>
      <c r="C21" s="576" t="s">
        <v>227</v>
      </c>
      <c r="D21" s="380">
        <f>D4+D5+SUM(D8:D13)+D17</f>
        <v>0</v>
      </c>
      <c r="E21" s="380">
        <f>E4+E5+SUM(E8:E13)+E17</f>
        <v>4125199.9999999995</v>
      </c>
      <c r="F21" s="380">
        <f>F4+F5+SUM(F8:F13)+F17</f>
        <v>4088952.3</v>
      </c>
      <c r="G21" s="380">
        <f>G4+G5+SUM(G8:G13)+G17</f>
        <v>4189391.0999999996</v>
      </c>
    </row>
    <row r="22" spans="1:7" s="480" customFormat="1" ht="12.75" customHeight="1">
      <c r="A22" s="593" t="s">
        <v>226</v>
      </c>
      <c r="B22" s="587"/>
      <c r="C22" s="585" t="s">
        <v>225</v>
      </c>
      <c r="D22" s="318"/>
      <c r="E22" s="369">
        <f>1259500+382700</f>
        <v>1642200</v>
      </c>
      <c r="F22" s="317">
        <f>1316472.5+380138.4</f>
        <v>1696610.9</v>
      </c>
      <c r="G22" s="316">
        <f>1334600+399200</f>
        <v>1733800</v>
      </c>
    </row>
    <row r="23" spans="1:7" s="480" customFormat="1" ht="12.75" customHeight="1">
      <c r="A23" s="593" t="s">
        <v>224</v>
      </c>
      <c r="B23" s="587"/>
      <c r="C23" s="585" t="s">
        <v>223</v>
      </c>
      <c r="D23" s="318"/>
      <c r="E23" s="369">
        <f>164400+148692</f>
        <v>313092</v>
      </c>
      <c r="F23" s="317">
        <f>179686.2+156220.1</f>
        <v>335906.30000000005</v>
      </c>
      <c r="G23" s="316">
        <f>173700+151230</f>
        <v>324930</v>
      </c>
    </row>
    <row r="24" spans="1:7" s="621" customFormat="1" ht="12.75" customHeight="1">
      <c r="A24" s="591">
        <v>41</v>
      </c>
      <c r="B24" s="587"/>
      <c r="C24" s="585" t="s">
        <v>222</v>
      </c>
      <c r="D24" s="318"/>
      <c r="E24" s="369">
        <v>36408.9</v>
      </c>
      <c r="F24" s="317">
        <v>37736</v>
      </c>
      <c r="G24" s="316">
        <v>37030.5</v>
      </c>
    </row>
    <row r="25" spans="1:7" s="480" customFormat="1" ht="12.75" customHeight="1">
      <c r="A25" s="620">
        <v>42</v>
      </c>
      <c r="B25" s="619"/>
      <c r="C25" s="585" t="s">
        <v>221</v>
      </c>
      <c r="D25" s="318"/>
      <c r="E25" s="369">
        <v>284651.90000000002</v>
      </c>
      <c r="F25" s="317">
        <v>296962.8</v>
      </c>
      <c r="G25" s="316">
        <v>284087.3</v>
      </c>
    </row>
    <row r="26" spans="1:7" s="618" customFormat="1" ht="12.75" customHeight="1">
      <c r="A26" s="597">
        <v>430</v>
      </c>
      <c r="B26" s="587"/>
      <c r="C26" s="585" t="s">
        <v>220</v>
      </c>
      <c r="D26" s="433"/>
      <c r="E26" s="432">
        <v>3634.9</v>
      </c>
      <c r="F26" s="431">
        <v>13619.4</v>
      </c>
      <c r="G26" s="430">
        <v>3738.4</v>
      </c>
    </row>
    <row r="27" spans="1:7" s="618" customFormat="1" ht="12.75" customHeight="1">
      <c r="A27" s="597">
        <v>431</v>
      </c>
      <c r="B27" s="587"/>
      <c r="C27" s="585" t="s">
        <v>219</v>
      </c>
      <c r="D27" s="433"/>
      <c r="E27" s="432">
        <v>16379.3</v>
      </c>
      <c r="F27" s="431">
        <v>7976.8</v>
      </c>
      <c r="G27" s="430">
        <v>15774.7</v>
      </c>
    </row>
    <row r="28" spans="1:7" s="618" customFormat="1" ht="12.75" customHeight="1">
      <c r="A28" s="597">
        <v>432</v>
      </c>
      <c r="B28" s="587"/>
      <c r="C28" s="585" t="s">
        <v>218</v>
      </c>
      <c r="D28" s="433"/>
      <c r="E28" s="432">
        <v>0</v>
      </c>
      <c r="F28" s="431"/>
      <c r="G28" s="430">
        <v>0</v>
      </c>
    </row>
    <row r="29" spans="1:7" s="618" customFormat="1" ht="12.75" customHeight="1">
      <c r="A29" s="597">
        <v>439</v>
      </c>
      <c r="B29" s="587"/>
      <c r="C29" s="585" t="s">
        <v>217</v>
      </c>
      <c r="D29" s="433"/>
      <c r="E29" s="432">
        <v>0</v>
      </c>
      <c r="F29" s="431"/>
      <c r="G29" s="430">
        <v>0</v>
      </c>
    </row>
    <row r="30" spans="1:7" s="480" customFormat="1" ht="25.5">
      <c r="A30" s="597">
        <v>450</v>
      </c>
      <c r="B30" s="596"/>
      <c r="C30" s="589" t="s">
        <v>216</v>
      </c>
      <c r="D30" s="362"/>
      <c r="E30" s="363">
        <v>3544.2</v>
      </c>
      <c r="F30" s="362">
        <v>6495.9</v>
      </c>
      <c r="G30" s="361">
        <v>9060.7000000000007</v>
      </c>
    </row>
    <row r="31" spans="1:7" s="579" customFormat="1" ht="25.5">
      <c r="A31" s="597">
        <v>451</v>
      </c>
      <c r="B31" s="596"/>
      <c r="C31" s="589" t="s">
        <v>215</v>
      </c>
      <c r="D31" s="312"/>
      <c r="E31" s="369">
        <v>11330.7</v>
      </c>
      <c r="F31" s="311">
        <v>833.3</v>
      </c>
      <c r="G31" s="316">
        <v>31416.9</v>
      </c>
    </row>
    <row r="32" spans="1:7" s="480" customFormat="1" ht="12.75" customHeight="1">
      <c r="A32" s="591">
        <v>46</v>
      </c>
      <c r="B32" s="587"/>
      <c r="C32" s="585" t="s">
        <v>214</v>
      </c>
      <c r="D32" s="318"/>
      <c r="E32" s="369">
        <v>1354890.5</v>
      </c>
      <c r="F32" s="317">
        <v>1312213</v>
      </c>
      <c r="G32" s="316">
        <v>1335035.1000000001</v>
      </c>
    </row>
    <row r="33" spans="1:7" s="579" customFormat="1" ht="12.75" customHeight="1">
      <c r="A33" s="617" t="s">
        <v>213</v>
      </c>
      <c r="B33" s="586"/>
      <c r="C33" s="616" t="s">
        <v>212</v>
      </c>
      <c r="D33" s="318"/>
      <c r="E33" s="425">
        <v>0</v>
      </c>
      <c r="F33" s="317"/>
      <c r="G33" s="321">
        <v>0</v>
      </c>
    </row>
    <row r="34" spans="1:7" s="480" customFormat="1" ht="15" customHeight="1">
      <c r="A34" s="591">
        <v>47</v>
      </c>
      <c r="B34" s="587"/>
      <c r="C34" s="585" t="s">
        <v>211</v>
      </c>
      <c r="D34" s="318"/>
      <c r="E34" s="369">
        <v>263840.90000000002</v>
      </c>
      <c r="F34" s="317">
        <v>264658.5</v>
      </c>
      <c r="G34" s="316">
        <v>256012.4</v>
      </c>
    </row>
    <row r="35" spans="1:7" s="480" customFormat="1" ht="15" customHeight="1">
      <c r="A35" s="615">
        <v>49</v>
      </c>
      <c r="B35" s="614"/>
      <c r="C35" s="583" t="s">
        <v>210</v>
      </c>
      <c r="D35" s="357"/>
      <c r="E35" s="373">
        <v>426504</v>
      </c>
      <c r="F35" s="355">
        <v>429967.1</v>
      </c>
      <c r="G35" s="372">
        <v>479393.1</v>
      </c>
    </row>
    <row r="36" spans="1:7" ht="13.5" customHeight="1">
      <c r="A36" s="578"/>
      <c r="B36" s="606"/>
      <c r="C36" s="576" t="s">
        <v>209</v>
      </c>
      <c r="D36" s="380">
        <f>D22+D23+D24+D25+D26+D27+D28+D29+D30+D31+D32+D34</f>
        <v>0</v>
      </c>
      <c r="E36" s="380">
        <f>E22+E23+E24+E25+E26+E27+E28+E29+E30+E31+E32+E34</f>
        <v>3929973.3</v>
      </c>
      <c r="F36" s="380">
        <f>F22+F23+F24+F25+F26+F27+F28+F29+F30+F31+F32+F34</f>
        <v>3973012.8999999994</v>
      </c>
      <c r="G36" s="380">
        <f>G22+G23+G24+G25+G26+G27+G28+G29+G30+G31+G32+G34</f>
        <v>4030886</v>
      </c>
    </row>
    <row r="37" spans="1:7" s="667" customFormat="1" ht="15" customHeight="1">
      <c r="A37" s="578"/>
      <c r="B37" s="606"/>
      <c r="C37" s="576" t="s">
        <v>208</v>
      </c>
      <c r="D37" s="380">
        <f>D36-D21</f>
        <v>0</v>
      </c>
      <c r="E37" s="380">
        <f>E36-E21</f>
        <v>-195226.69999999972</v>
      </c>
      <c r="F37" s="380">
        <f>F36-F21</f>
        <v>-115939.40000000037</v>
      </c>
      <c r="G37" s="380">
        <f>G36-G21</f>
        <v>-158505.09999999963</v>
      </c>
    </row>
    <row r="38" spans="1:7" s="579" customFormat="1" ht="15" customHeight="1">
      <c r="A38" s="593">
        <v>340</v>
      </c>
      <c r="B38" s="587"/>
      <c r="C38" s="585" t="s">
        <v>207</v>
      </c>
      <c r="D38" s="364"/>
      <c r="E38" s="369">
        <v>27792.6</v>
      </c>
      <c r="F38" s="362">
        <v>30244.2</v>
      </c>
      <c r="G38" s="316">
        <v>28968.2</v>
      </c>
    </row>
    <row r="39" spans="1:7" s="579" customFormat="1" ht="15" customHeight="1">
      <c r="A39" s="593">
        <v>341</v>
      </c>
      <c r="B39" s="587"/>
      <c r="C39" s="585" t="s">
        <v>206</v>
      </c>
      <c r="D39" s="318"/>
      <c r="E39" s="369">
        <v>0</v>
      </c>
      <c r="F39" s="317"/>
      <c r="G39" s="316">
        <v>0</v>
      </c>
    </row>
    <row r="40" spans="1:7" s="579" customFormat="1" ht="15" customHeight="1">
      <c r="A40" s="593">
        <v>342</v>
      </c>
      <c r="B40" s="587"/>
      <c r="C40" s="585" t="s">
        <v>205</v>
      </c>
      <c r="D40" s="318"/>
      <c r="E40" s="369">
        <v>789.8</v>
      </c>
      <c r="F40" s="317">
        <v>775.8</v>
      </c>
      <c r="G40" s="316">
        <v>799.9</v>
      </c>
    </row>
    <row r="41" spans="1:7" s="579" customFormat="1" ht="15" customHeight="1">
      <c r="A41" s="593">
        <v>343</v>
      </c>
      <c r="B41" s="587"/>
      <c r="C41" s="585" t="s">
        <v>204</v>
      </c>
      <c r="D41" s="318"/>
      <c r="E41" s="369">
        <v>0</v>
      </c>
      <c r="F41" s="317"/>
      <c r="G41" s="316">
        <v>0</v>
      </c>
    </row>
    <row r="42" spans="1:7" s="579" customFormat="1" ht="15" customHeight="1">
      <c r="A42" s="593">
        <v>344</v>
      </c>
      <c r="B42" s="587"/>
      <c r="C42" s="585" t="s">
        <v>198</v>
      </c>
      <c r="D42" s="318"/>
      <c r="E42" s="369">
        <v>299.60000000000002</v>
      </c>
      <c r="F42" s="317">
        <v>300.10000000000002</v>
      </c>
      <c r="G42" s="316">
        <v>337.5</v>
      </c>
    </row>
    <row r="43" spans="1:7" s="579" customFormat="1" ht="15" customHeight="1">
      <c r="A43" s="593">
        <v>349</v>
      </c>
      <c r="B43" s="587"/>
      <c r="C43" s="585" t="s">
        <v>203</v>
      </c>
      <c r="D43" s="318"/>
      <c r="E43" s="369">
        <v>0</v>
      </c>
      <c r="F43" s="317"/>
      <c r="G43" s="316">
        <v>0</v>
      </c>
    </row>
    <row r="44" spans="1:7" s="480" customFormat="1" ht="15" customHeight="1">
      <c r="A44" s="591">
        <v>440</v>
      </c>
      <c r="B44" s="587"/>
      <c r="C44" s="585" t="s">
        <v>202</v>
      </c>
      <c r="D44" s="364"/>
      <c r="E44" s="369">
        <v>6843.3</v>
      </c>
      <c r="F44" s="362">
        <v>8288</v>
      </c>
      <c r="G44" s="316">
        <v>6559</v>
      </c>
    </row>
    <row r="45" spans="1:7" s="480" customFormat="1" ht="15" customHeight="1">
      <c r="A45" s="591">
        <v>441</v>
      </c>
      <c r="B45" s="587"/>
      <c r="C45" s="585" t="s">
        <v>201</v>
      </c>
      <c r="D45" s="364"/>
      <c r="E45" s="369">
        <v>1300</v>
      </c>
      <c r="F45" s="362">
        <v>3205.1</v>
      </c>
      <c r="G45" s="316">
        <v>500</v>
      </c>
    </row>
    <row r="46" spans="1:7" s="480" customFormat="1" ht="15" customHeight="1">
      <c r="A46" s="591">
        <v>442</v>
      </c>
      <c r="B46" s="587"/>
      <c r="C46" s="585" t="s">
        <v>200</v>
      </c>
      <c r="D46" s="364"/>
      <c r="E46" s="369">
        <v>3234.6</v>
      </c>
      <c r="F46" s="362">
        <v>3309.5</v>
      </c>
      <c r="G46" s="316">
        <v>3236.9</v>
      </c>
    </row>
    <row r="47" spans="1:7" s="480" customFormat="1" ht="15" customHeight="1">
      <c r="A47" s="591">
        <v>443</v>
      </c>
      <c r="B47" s="587"/>
      <c r="C47" s="585" t="s">
        <v>199</v>
      </c>
      <c r="D47" s="364"/>
      <c r="E47" s="369">
        <v>4120</v>
      </c>
      <c r="F47" s="362">
        <v>4481.7</v>
      </c>
      <c r="G47" s="316">
        <v>4868.5</v>
      </c>
    </row>
    <row r="48" spans="1:7" s="480" customFormat="1" ht="15" customHeight="1">
      <c r="A48" s="591">
        <v>444</v>
      </c>
      <c r="B48" s="587"/>
      <c r="C48" s="585" t="s">
        <v>198</v>
      </c>
      <c r="D48" s="364"/>
      <c r="E48" s="369">
        <v>0</v>
      </c>
      <c r="F48" s="362">
        <v>3044.6</v>
      </c>
      <c r="G48" s="316">
        <v>0</v>
      </c>
    </row>
    <row r="49" spans="1:7" s="480" customFormat="1" ht="15" customHeight="1">
      <c r="A49" s="591">
        <v>445</v>
      </c>
      <c r="B49" s="587"/>
      <c r="C49" s="585" t="s">
        <v>197</v>
      </c>
      <c r="D49" s="364"/>
      <c r="E49" s="369">
        <v>44679.7</v>
      </c>
      <c r="F49" s="362">
        <v>42976.3</v>
      </c>
      <c r="G49" s="316">
        <v>43788.4</v>
      </c>
    </row>
    <row r="50" spans="1:7" s="480" customFormat="1" ht="15" customHeight="1">
      <c r="A50" s="591">
        <v>446</v>
      </c>
      <c r="B50" s="587"/>
      <c r="C50" s="585" t="s">
        <v>196</v>
      </c>
      <c r="D50" s="364"/>
      <c r="E50" s="369">
        <v>15955.8</v>
      </c>
      <c r="F50" s="362">
        <v>16162.9</v>
      </c>
      <c r="G50" s="316">
        <v>10226</v>
      </c>
    </row>
    <row r="51" spans="1:7" s="480" customFormat="1" ht="15" customHeight="1">
      <c r="A51" s="591">
        <v>447</v>
      </c>
      <c r="B51" s="587"/>
      <c r="C51" s="585" t="s">
        <v>195</v>
      </c>
      <c r="D51" s="364"/>
      <c r="E51" s="369">
        <v>42316.3</v>
      </c>
      <c r="F51" s="362">
        <v>44216.1</v>
      </c>
      <c r="G51" s="316">
        <v>43647.4</v>
      </c>
    </row>
    <row r="52" spans="1:7" s="480" customFormat="1" ht="15" customHeight="1">
      <c r="A52" s="591">
        <v>448</v>
      </c>
      <c r="B52" s="587"/>
      <c r="C52" s="585" t="s">
        <v>194</v>
      </c>
      <c r="D52" s="364"/>
      <c r="E52" s="369">
        <v>0</v>
      </c>
      <c r="F52" s="362"/>
      <c r="G52" s="316">
        <v>0</v>
      </c>
    </row>
    <row r="53" spans="1:7" s="480" customFormat="1" ht="15" customHeight="1">
      <c r="A53" s="591">
        <v>449</v>
      </c>
      <c r="B53" s="587"/>
      <c r="C53" s="585" t="s">
        <v>193</v>
      </c>
      <c r="D53" s="364"/>
      <c r="E53" s="369">
        <v>0</v>
      </c>
      <c r="F53" s="362"/>
      <c r="G53" s="316">
        <v>0</v>
      </c>
    </row>
    <row r="54" spans="1:7" s="579" customFormat="1" ht="13.5" customHeight="1">
      <c r="A54" s="607" t="s">
        <v>192</v>
      </c>
      <c r="B54" s="580"/>
      <c r="C54" s="580" t="s">
        <v>191</v>
      </c>
      <c r="D54" s="419"/>
      <c r="E54" s="417">
        <v>0</v>
      </c>
      <c r="F54" s="418"/>
      <c r="G54" s="299">
        <v>0</v>
      </c>
    </row>
    <row r="55" spans="1:7" ht="15" customHeight="1">
      <c r="A55" s="606"/>
      <c r="B55" s="606"/>
      <c r="C55" s="576" t="s">
        <v>55</v>
      </c>
      <c r="D55" s="380">
        <f>SUM(D44:D53)-SUM(D38:D43)</f>
        <v>0</v>
      </c>
      <c r="E55" s="380">
        <f>SUM(E44:E53)-SUM(E38:E43)</f>
        <v>89567.7</v>
      </c>
      <c r="F55" s="380">
        <f>SUM(F44:F53)-SUM(F38:F43)</f>
        <v>94364.099999999977</v>
      </c>
      <c r="G55" s="380">
        <f>SUM(G44:G53)-SUM(G38:G43)</f>
        <v>82720.600000000006</v>
      </c>
    </row>
    <row r="56" spans="1:7" ht="14.25" customHeight="1">
      <c r="A56" s="606"/>
      <c r="B56" s="606"/>
      <c r="C56" s="576" t="s">
        <v>190</v>
      </c>
      <c r="D56" s="380">
        <f>D55+D37</f>
        <v>0</v>
      </c>
      <c r="E56" s="380">
        <f>E55+E37</f>
        <v>-105658.99999999972</v>
      </c>
      <c r="F56" s="380">
        <f>F55+F37</f>
        <v>-21575.300000000396</v>
      </c>
      <c r="G56" s="380">
        <f>G55+G37</f>
        <v>-75784.499999999622</v>
      </c>
    </row>
    <row r="57" spans="1:7" s="480" customFormat="1" ht="15.75" customHeight="1">
      <c r="A57" s="605">
        <v>380</v>
      </c>
      <c r="B57" s="604"/>
      <c r="C57" s="603" t="s">
        <v>189</v>
      </c>
      <c r="D57" s="569"/>
      <c r="E57" s="737">
        <v>0</v>
      </c>
      <c r="F57" s="602">
        <v>24900</v>
      </c>
      <c r="G57" s="601">
        <v>0</v>
      </c>
    </row>
    <row r="58" spans="1:7" s="480" customFormat="1" ht="15.75" customHeight="1">
      <c r="A58" s="605">
        <v>381</v>
      </c>
      <c r="B58" s="604"/>
      <c r="C58" s="603" t="s">
        <v>188</v>
      </c>
      <c r="D58" s="569"/>
      <c r="E58" s="737">
        <v>0</v>
      </c>
      <c r="F58" s="602">
        <v>8440</v>
      </c>
      <c r="G58" s="601">
        <v>0</v>
      </c>
    </row>
    <row r="59" spans="1:7" s="579" customFormat="1" ht="25.5">
      <c r="A59" s="597">
        <v>383</v>
      </c>
      <c r="B59" s="596"/>
      <c r="C59" s="589" t="s">
        <v>187</v>
      </c>
      <c r="D59" s="410"/>
      <c r="E59" s="394">
        <v>0</v>
      </c>
      <c r="F59" s="409"/>
      <c r="G59" s="342">
        <v>0</v>
      </c>
    </row>
    <row r="60" spans="1:7" s="579" customFormat="1">
      <c r="A60" s="597">
        <v>3840</v>
      </c>
      <c r="B60" s="596"/>
      <c r="C60" s="589" t="s">
        <v>186</v>
      </c>
      <c r="D60" s="403"/>
      <c r="E60" s="402">
        <v>0</v>
      </c>
      <c r="F60" s="401"/>
      <c r="G60" s="400">
        <v>0</v>
      </c>
    </row>
    <row r="61" spans="1:7" s="579" customFormat="1">
      <c r="A61" s="597">
        <v>3841</v>
      </c>
      <c r="B61" s="596"/>
      <c r="C61" s="589" t="s">
        <v>185</v>
      </c>
      <c r="D61" s="403"/>
      <c r="E61" s="402">
        <v>0</v>
      </c>
      <c r="F61" s="401"/>
      <c r="G61" s="400">
        <v>0</v>
      </c>
    </row>
    <row r="62" spans="1:7" s="579" customFormat="1">
      <c r="A62" s="600">
        <v>386</v>
      </c>
      <c r="B62" s="599"/>
      <c r="C62" s="598" t="s">
        <v>184</v>
      </c>
      <c r="D62" s="403"/>
      <c r="E62" s="402">
        <v>0</v>
      </c>
      <c r="F62" s="401"/>
      <c r="G62" s="400">
        <v>0</v>
      </c>
    </row>
    <row r="63" spans="1:7" s="579" customFormat="1" ht="25.5">
      <c r="A63" s="597">
        <v>387</v>
      </c>
      <c r="B63" s="596"/>
      <c r="C63" s="589" t="s">
        <v>183</v>
      </c>
      <c r="D63" s="403"/>
      <c r="E63" s="402">
        <v>0</v>
      </c>
      <c r="F63" s="401"/>
      <c r="G63" s="400">
        <v>0</v>
      </c>
    </row>
    <row r="64" spans="1:7" s="579" customFormat="1">
      <c r="A64" s="593">
        <v>389</v>
      </c>
      <c r="B64" s="592"/>
      <c r="C64" s="585" t="s">
        <v>182</v>
      </c>
      <c r="D64" s="318"/>
      <c r="E64" s="369">
        <v>0</v>
      </c>
      <c r="F64" s="317">
        <v>190.7</v>
      </c>
      <c r="G64" s="316">
        <v>0</v>
      </c>
    </row>
    <row r="65" spans="1:7" s="480" customFormat="1">
      <c r="A65" s="593" t="s">
        <v>181</v>
      </c>
      <c r="B65" s="587"/>
      <c r="C65" s="585" t="s">
        <v>180</v>
      </c>
      <c r="D65" s="318"/>
      <c r="E65" s="369">
        <v>0</v>
      </c>
      <c r="F65" s="317"/>
      <c r="G65" s="316">
        <v>0</v>
      </c>
    </row>
    <row r="66" spans="1:7" s="588" customFormat="1">
      <c r="A66" s="666" t="s">
        <v>179</v>
      </c>
      <c r="B66" s="590"/>
      <c r="C66" s="589" t="s">
        <v>178</v>
      </c>
      <c r="D66" s="344"/>
      <c r="E66" s="394">
        <v>0</v>
      </c>
      <c r="F66" s="343"/>
      <c r="G66" s="342">
        <v>0</v>
      </c>
    </row>
    <row r="67" spans="1:7" s="480" customFormat="1">
      <c r="A67" s="584">
        <v>481</v>
      </c>
      <c r="B67" s="587"/>
      <c r="C67" s="585" t="s">
        <v>177</v>
      </c>
      <c r="D67" s="318"/>
      <c r="E67" s="369">
        <v>0</v>
      </c>
      <c r="F67" s="317"/>
      <c r="G67" s="316">
        <v>0</v>
      </c>
    </row>
    <row r="68" spans="1:7" s="480" customFormat="1">
      <c r="A68" s="584">
        <v>482</v>
      </c>
      <c r="B68" s="587"/>
      <c r="C68" s="585" t="s">
        <v>176</v>
      </c>
      <c r="D68" s="318"/>
      <c r="E68" s="369">
        <v>0</v>
      </c>
      <c r="F68" s="317"/>
      <c r="G68" s="316">
        <v>0</v>
      </c>
    </row>
    <row r="69" spans="1:7" s="480" customFormat="1">
      <c r="A69" s="584">
        <v>483</v>
      </c>
      <c r="B69" s="587"/>
      <c r="C69" s="585" t="s">
        <v>175</v>
      </c>
      <c r="D69" s="318"/>
      <c r="E69" s="369">
        <v>0</v>
      </c>
      <c r="F69" s="317">
        <v>2622.7</v>
      </c>
      <c r="G69" s="316">
        <v>0</v>
      </c>
    </row>
    <row r="70" spans="1:7" s="480" customFormat="1">
      <c r="A70" s="584">
        <v>484</v>
      </c>
      <c r="B70" s="587"/>
      <c r="C70" s="585" t="s">
        <v>174</v>
      </c>
      <c r="D70" s="318"/>
      <c r="E70" s="369">
        <v>0</v>
      </c>
      <c r="F70" s="317"/>
      <c r="G70" s="316">
        <v>0</v>
      </c>
    </row>
    <row r="71" spans="1:7" s="480" customFormat="1">
      <c r="A71" s="584">
        <v>485</v>
      </c>
      <c r="B71" s="587"/>
      <c r="C71" s="585" t="s">
        <v>173</v>
      </c>
      <c r="D71" s="318"/>
      <c r="E71" s="369">
        <v>0</v>
      </c>
      <c r="F71" s="317"/>
      <c r="G71" s="316">
        <v>0</v>
      </c>
    </row>
    <row r="72" spans="1:7" s="480" customFormat="1">
      <c r="A72" s="584">
        <v>486</v>
      </c>
      <c r="B72" s="587"/>
      <c r="C72" s="585" t="s">
        <v>172</v>
      </c>
      <c r="D72" s="318"/>
      <c r="E72" s="369">
        <v>0</v>
      </c>
      <c r="F72" s="317"/>
      <c r="G72" s="316">
        <v>0</v>
      </c>
    </row>
    <row r="73" spans="1:7" s="579" customFormat="1">
      <c r="A73" s="584">
        <v>487</v>
      </c>
      <c r="B73" s="586"/>
      <c r="C73" s="585" t="s">
        <v>171</v>
      </c>
      <c r="D73" s="364"/>
      <c r="E73" s="369">
        <v>0</v>
      </c>
      <c r="F73" s="362"/>
      <c r="G73" s="316">
        <v>0</v>
      </c>
    </row>
    <row r="74" spans="1:7" s="579" customFormat="1">
      <c r="A74" s="584">
        <v>489</v>
      </c>
      <c r="B74" s="581"/>
      <c r="C74" s="583" t="s">
        <v>170</v>
      </c>
      <c r="D74" s="364"/>
      <c r="E74" s="369">
        <v>75600</v>
      </c>
      <c r="F74" s="362">
        <v>76282.600000000006</v>
      </c>
      <c r="G74" s="316">
        <v>0</v>
      </c>
    </row>
    <row r="75" spans="1:7" s="579" customFormat="1">
      <c r="A75" s="582" t="s">
        <v>169</v>
      </c>
      <c r="B75" s="581"/>
      <c r="C75" s="580" t="s">
        <v>168</v>
      </c>
      <c r="D75" s="318"/>
      <c r="E75" s="369">
        <v>0</v>
      </c>
      <c r="F75" s="317"/>
      <c r="G75" s="316">
        <v>0</v>
      </c>
    </row>
    <row r="76" spans="1:7">
      <c r="A76" s="578"/>
      <c r="B76" s="578"/>
      <c r="C76" s="576" t="s">
        <v>167</v>
      </c>
      <c r="D76" s="380">
        <f>SUM(D65:D74)-SUM(D57:D64)</f>
        <v>0</v>
      </c>
      <c r="E76" s="380">
        <f>SUM(E65:E74)-SUM(E57:E64)</f>
        <v>75600</v>
      </c>
      <c r="F76" s="380">
        <f>SUM(F65:F74)-SUM(F57:F64)</f>
        <v>45374.600000000006</v>
      </c>
      <c r="G76" s="380">
        <f>SUM(G65:G74)-SUM(G57:G64)</f>
        <v>0</v>
      </c>
    </row>
    <row r="77" spans="1:7">
      <c r="A77" s="577"/>
      <c r="B77" s="577"/>
      <c r="C77" s="576" t="s">
        <v>166</v>
      </c>
      <c r="D77" s="380">
        <f>D56+D76</f>
        <v>0</v>
      </c>
      <c r="E77" s="380">
        <f>E56+E76</f>
        <v>-30058.999999999724</v>
      </c>
      <c r="F77" s="380">
        <f>F56+F76</f>
        <v>23799.29999999961</v>
      </c>
      <c r="G77" s="380">
        <f>G56+G76</f>
        <v>-75784.499999999622</v>
      </c>
    </row>
    <row r="78" spans="1:7">
      <c r="A78" s="575">
        <v>3</v>
      </c>
      <c r="B78" s="575"/>
      <c r="C78" s="574" t="s">
        <v>165</v>
      </c>
      <c r="D78" s="377">
        <f>D20+D21+SUM(D38:D43)+SUM(D57:D64)</f>
        <v>0</v>
      </c>
      <c r="E78" s="377">
        <f>E20+E21+SUM(E38:E43)+SUM(E57:E64)</f>
        <v>4580586</v>
      </c>
      <c r="F78" s="377">
        <f>F20+F21+SUM(F38:F43)+SUM(F57:F64)</f>
        <v>4583770.1999999993</v>
      </c>
      <c r="G78" s="377">
        <f>G20+G21+SUM(G38:G43)+SUM(G57:G64)</f>
        <v>4698889.7999999989</v>
      </c>
    </row>
    <row r="79" spans="1:7">
      <c r="A79" s="575">
        <v>4</v>
      </c>
      <c r="B79" s="575"/>
      <c r="C79" s="574" t="s">
        <v>164</v>
      </c>
      <c r="D79" s="377">
        <f>D35+D36+SUM(D44:D53)+SUM(D65:D74)</f>
        <v>0</v>
      </c>
      <c r="E79" s="377">
        <f>E35+E36+SUM(E44:E53)+SUM(E65:E74)</f>
        <v>4550527</v>
      </c>
      <c r="F79" s="377">
        <f>F35+F36+SUM(F44:F53)+SUM(F65:F74)</f>
        <v>4607569.4999999991</v>
      </c>
      <c r="G79" s="377">
        <f>G35+G36+SUM(G44:G53)+SUM(G65:G74)</f>
        <v>4623105.3</v>
      </c>
    </row>
    <row r="80" spans="1:7">
      <c r="A80" s="534"/>
      <c r="B80" s="534"/>
      <c r="C80" s="533"/>
      <c r="D80" s="260"/>
      <c r="E80" s="260"/>
      <c r="F80" s="260"/>
      <c r="G80" s="260"/>
    </row>
    <row r="81" spans="1:7">
      <c r="A81" s="951" t="s">
        <v>163</v>
      </c>
      <c r="B81" s="952"/>
      <c r="C81" s="952"/>
      <c r="D81" s="376"/>
      <c r="E81" s="375"/>
      <c r="F81" s="376"/>
      <c r="G81" s="375"/>
    </row>
    <row r="82" spans="1:7" s="480" customFormat="1">
      <c r="A82" s="567">
        <v>50</v>
      </c>
      <c r="B82" s="565"/>
      <c r="C82" s="565" t="s">
        <v>162</v>
      </c>
      <c r="D82" s="318"/>
      <c r="E82" s="369">
        <v>162685</v>
      </c>
      <c r="F82" s="317">
        <v>124443.5</v>
      </c>
      <c r="G82" s="316">
        <v>282028</v>
      </c>
    </row>
    <row r="83" spans="1:7" s="480" customFormat="1">
      <c r="A83" s="567">
        <v>51</v>
      </c>
      <c r="B83" s="565"/>
      <c r="C83" s="565" t="s">
        <v>161</v>
      </c>
      <c r="D83" s="318"/>
      <c r="E83" s="369">
        <v>0</v>
      </c>
      <c r="F83" s="317"/>
      <c r="G83" s="316">
        <v>0</v>
      </c>
    </row>
    <row r="84" spans="1:7" s="480" customFormat="1">
      <c r="A84" s="567">
        <v>52</v>
      </c>
      <c r="B84" s="565"/>
      <c r="C84" s="565" t="s">
        <v>160</v>
      </c>
      <c r="D84" s="318"/>
      <c r="E84" s="369">
        <v>0</v>
      </c>
      <c r="F84" s="317"/>
      <c r="G84" s="316">
        <v>0</v>
      </c>
    </row>
    <row r="85" spans="1:7" s="480" customFormat="1">
      <c r="A85" s="571">
        <v>54</v>
      </c>
      <c r="B85" s="570"/>
      <c r="C85" s="570" t="s">
        <v>117</v>
      </c>
      <c r="D85" s="318"/>
      <c r="E85" s="369">
        <v>332410</v>
      </c>
      <c r="F85" s="317">
        <v>291288</v>
      </c>
      <c r="G85" s="316">
        <v>101152</v>
      </c>
    </row>
    <row r="86" spans="1:7" s="480" customFormat="1">
      <c r="A86" s="571">
        <v>55</v>
      </c>
      <c r="B86" s="570"/>
      <c r="C86" s="570" t="s">
        <v>159</v>
      </c>
      <c r="D86" s="318"/>
      <c r="E86" s="369">
        <v>0</v>
      </c>
      <c r="F86" s="317"/>
      <c r="G86" s="316">
        <v>0</v>
      </c>
    </row>
    <row r="87" spans="1:7" s="480" customFormat="1">
      <c r="A87" s="571">
        <v>56</v>
      </c>
      <c r="B87" s="570"/>
      <c r="C87" s="570" t="s">
        <v>158</v>
      </c>
      <c r="D87" s="318"/>
      <c r="E87" s="369">
        <v>21718.9</v>
      </c>
      <c r="F87" s="317">
        <v>12956.1</v>
      </c>
      <c r="G87" s="316">
        <v>17232.5</v>
      </c>
    </row>
    <row r="88" spans="1:7" s="480" customFormat="1">
      <c r="A88" s="567">
        <v>57</v>
      </c>
      <c r="B88" s="565"/>
      <c r="C88" s="565" t="s">
        <v>143</v>
      </c>
      <c r="D88" s="318"/>
      <c r="E88" s="369">
        <v>0</v>
      </c>
      <c r="F88" s="317">
        <v>436</v>
      </c>
      <c r="G88" s="316">
        <v>0</v>
      </c>
    </row>
    <row r="89" spans="1:7" s="480" customFormat="1">
      <c r="A89" s="567">
        <v>580</v>
      </c>
      <c r="B89" s="565"/>
      <c r="C89" s="565" t="s">
        <v>157</v>
      </c>
      <c r="D89" s="318"/>
      <c r="E89" s="369">
        <v>0</v>
      </c>
      <c r="F89" s="317"/>
      <c r="G89" s="316">
        <v>0</v>
      </c>
    </row>
    <row r="90" spans="1:7" s="480" customFormat="1">
      <c r="A90" s="567">
        <v>582</v>
      </c>
      <c r="B90" s="565"/>
      <c r="C90" s="565" t="s">
        <v>156</v>
      </c>
      <c r="D90" s="318"/>
      <c r="E90" s="369">
        <v>0</v>
      </c>
      <c r="F90" s="317"/>
      <c r="G90" s="316">
        <v>0</v>
      </c>
    </row>
    <row r="91" spans="1:7" s="480" customFormat="1">
      <c r="A91" s="567">
        <v>584</v>
      </c>
      <c r="B91" s="565"/>
      <c r="C91" s="565" t="s">
        <v>155</v>
      </c>
      <c r="D91" s="318"/>
      <c r="E91" s="369">
        <v>0</v>
      </c>
      <c r="F91" s="317"/>
      <c r="G91" s="316">
        <v>0</v>
      </c>
    </row>
    <row r="92" spans="1:7" s="480" customFormat="1">
      <c r="A92" s="567">
        <v>585</v>
      </c>
      <c r="B92" s="565"/>
      <c r="C92" s="565" t="s">
        <v>154</v>
      </c>
      <c r="D92" s="318"/>
      <c r="E92" s="369">
        <v>0</v>
      </c>
      <c r="F92" s="317"/>
      <c r="G92" s="316">
        <v>0</v>
      </c>
    </row>
    <row r="93" spans="1:7" s="480" customFormat="1">
      <c r="A93" s="567">
        <v>586</v>
      </c>
      <c r="B93" s="565"/>
      <c r="C93" s="565" t="s">
        <v>153</v>
      </c>
      <c r="D93" s="318"/>
      <c r="E93" s="369">
        <v>0</v>
      </c>
      <c r="F93" s="317"/>
      <c r="G93" s="316">
        <v>0</v>
      </c>
    </row>
    <row r="94" spans="1:7" s="480" customFormat="1">
      <c r="A94" s="568">
        <v>589</v>
      </c>
      <c r="B94" s="561"/>
      <c r="C94" s="561" t="s">
        <v>152</v>
      </c>
      <c r="D94" s="334"/>
      <c r="E94" s="373">
        <v>0</v>
      </c>
      <c r="F94" s="333"/>
      <c r="G94" s="372">
        <v>0</v>
      </c>
    </row>
    <row r="95" spans="1:7">
      <c r="A95" s="557">
        <v>5</v>
      </c>
      <c r="B95" s="555"/>
      <c r="C95" s="555" t="s">
        <v>151</v>
      </c>
      <c r="D95" s="348">
        <f>SUM(D82:D94)</f>
        <v>0</v>
      </c>
      <c r="E95" s="348">
        <f>SUM(E82:E94)</f>
        <v>516813.9</v>
      </c>
      <c r="F95" s="348">
        <f>SUM(F82:F94)</f>
        <v>429123.6</v>
      </c>
      <c r="G95" s="348">
        <f>SUM(G82:G94)</f>
        <v>400412.5</v>
      </c>
    </row>
    <row r="96" spans="1:7" s="480" customFormat="1">
      <c r="A96" s="567">
        <v>60</v>
      </c>
      <c r="B96" s="565"/>
      <c r="C96" s="565" t="s">
        <v>150</v>
      </c>
      <c r="D96" s="318"/>
      <c r="E96" s="369">
        <v>0</v>
      </c>
      <c r="F96" s="317">
        <v>7.2</v>
      </c>
      <c r="G96" s="317">
        <v>68640</v>
      </c>
    </row>
    <row r="97" spans="1:7" s="480" customFormat="1">
      <c r="A97" s="567">
        <v>61</v>
      </c>
      <c r="B97" s="565"/>
      <c r="C97" s="565" t="s">
        <v>149</v>
      </c>
      <c r="D97" s="318"/>
      <c r="E97" s="369">
        <v>2225</v>
      </c>
      <c r="F97" s="317">
        <v>3370</v>
      </c>
      <c r="G97" s="317">
        <v>5186.7</v>
      </c>
    </row>
    <row r="98" spans="1:7" s="480" customFormat="1">
      <c r="A98" s="567">
        <v>62</v>
      </c>
      <c r="B98" s="565"/>
      <c r="C98" s="565" t="s">
        <v>148</v>
      </c>
      <c r="D98" s="318"/>
      <c r="E98" s="369">
        <v>0</v>
      </c>
      <c r="F98" s="317"/>
      <c r="G98" s="317"/>
    </row>
    <row r="99" spans="1:7" s="480" customFormat="1">
      <c r="A99" s="567">
        <v>63</v>
      </c>
      <c r="B99" s="565"/>
      <c r="C99" s="565" t="s">
        <v>147</v>
      </c>
      <c r="D99" s="318"/>
      <c r="E99" s="369">
        <v>36216.1</v>
      </c>
      <c r="F99" s="317">
        <v>25278.799999999999</v>
      </c>
      <c r="G99" s="317">
        <v>33658.1</v>
      </c>
    </row>
    <row r="100" spans="1:7" s="480" customFormat="1">
      <c r="A100" s="567">
        <v>64</v>
      </c>
      <c r="B100" s="565"/>
      <c r="C100" s="565" t="s">
        <v>146</v>
      </c>
      <c r="D100" s="318"/>
      <c r="E100" s="369">
        <v>20971.3</v>
      </c>
      <c r="F100" s="317">
        <v>18995.599999999999</v>
      </c>
      <c r="G100" s="317">
        <v>18032.099999999999</v>
      </c>
    </row>
    <row r="101" spans="1:7" s="480" customFormat="1">
      <c r="A101" s="567">
        <v>65</v>
      </c>
      <c r="B101" s="565"/>
      <c r="C101" s="565" t="s">
        <v>145</v>
      </c>
      <c r="D101" s="318"/>
      <c r="E101" s="369">
        <v>0</v>
      </c>
      <c r="F101" s="317">
        <v>113</v>
      </c>
      <c r="G101" s="317"/>
    </row>
    <row r="102" spans="1:7" s="480" customFormat="1">
      <c r="A102" s="567">
        <v>66</v>
      </c>
      <c r="B102" s="565"/>
      <c r="C102" s="565" t="s">
        <v>144</v>
      </c>
      <c r="D102" s="318"/>
      <c r="E102" s="369">
        <v>0</v>
      </c>
      <c r="F102" s="317"/>
      <c r="G102" s="317"/>
    </row>
    <row r="103" spans="1:7" s="480" customFormat="1">
      <c r="A103" s="567">
        <v>67</v>
      </c>
      <c r="B103" s="565"/>
      <c r="C103" s="565" t="s">
        <v>143</v>
      </c>
      <c r="D103" s="364"/>
      <c r="E103" s="363">
        <v>0</v>
      </c>
      <c r="F103" s="362">
        <v>436</v>
      </c>
      <c r="G103" s="362"/>
    </row>
    <row r="104" spans="1:7" s="480" customFormat="1" ht="25.5">
      <c r="A104" s="566" t="s">
        <v>142</v>
      </c>
      <c r="B104" s="565"/>
      <c r="C104" s="564" t="s">
        <v>141</v>
      </c>
      <c r="D104" s="364"/>
      <c r="E104" s="363">
        <v>0</v>
      </c>
      <c r="F104" s="362"/>
      <c r="G104" s="362"/>
    </row>
    <row r="105" spans="1:7" s="480" customFormat="1" ht="38.25">
      <c r="A105" s="562" t="s">
        <v>140</v>
      </c>
      <c r="B105" s="561"/>
      <c r="C105" s="560" t="s">
        <v>139</v>
      </c>
      <c r="D105" s="357"/>
      <c r="E105" s="356">
        <v>0</v>
      </c>
      <c r="F105" s="355"/>
      <c r="G105" s="355"/>
    </row>
    <row r="106" spans="1:7">
      <c r="A106" s="557">
        <v>6</v>
      </c>
      <c r="B106" s="555"/>
      <c r="C106" s="555" t="s">
        <v>138</v>
      </c>
      <c r="D106" s="348">
        <f>SUM(D96:D105)</f>
        <v>0</v>
      </c>
      <c r="E106" s="348">
        <f>SUM(E96:E105)</f>
        <v>59412.399999999994</v>
      </c>
      <c r="F106" s="348">
        <f>SUM(F96:F105)</f>
        <v>48200.6</v>
      </c>
      <c r="G106" s="348">
        <f>SUM(G96:G105)</f>
        <v>125516.9</v>
      </c>
    </row>
    <row r="107" spans="1:7">
      <c r="A107" s="556" t="s">
        <v>137</v>
      </c>
      <c r="B107" s="556"/>
      <c r="C107" s="555" t="s">
        <v>3</v>
      </c>
      <c r="D107" s="348">
        <f>(D95-D88)-(D106-D103)</f>
        <v>0</v>
      </c>
      <c r="E107" s="348">
        <f>(E95-E88)-(E106-E103)</f>
        <v>457401.5</v>
      </c>
      <c r="F107" s="348">
        <f>(F95-F88)-(F106-F103)</f>
        <v>380923</v>
      </c>
      <c r="G107" s="348">
        <f>(G95-G88)-(G106-G103)</f>
        <v>274895.59999999998</v>
      </c>
    </row>
    <row r="108" spans="1:7">
      <c r="A108" s="554" t="s">
        <v>136</v>
      </c>
      <c r="B108" s="554"/>
      <c r="C108" s="553" t="s">
        <v>135</v>
      </c>
      <c r="D108" s="552">
        <f>D107-D85-D86+D100+D101</f>
        <v>0</v>
      </c>
      <c r="E108" s="552">
        <f>E107-E85-E86+E100+E101</f>
        <v>145962.79999999999</v>
      </c>
      <c r="F108" s="552">
        <f>F107-F85-F86+F100+F101</f>
        <v>108743.6</v>
      </c>
      <c r="G108" s="552">
        <f>G107-G85-G86+G100+G101</f>
        <v>191775.69999999998</v>
      </c>
    </row>
    <row r="109" spans="1:7">
      <c r="A109" s="534"/>
      <c r="B109" s="534"/>
      <c r="C109" s="533"/>
      <c r="D109" s="260"/>
      <c r="E109" s="260"/>
      <c r="F109" s="260"/>
      <c r="G109" s="260"/>
    </row>
    <row r="110" spans="1:7" s="512" customFormat="1">
      <c r="A110" s="550" t="s">
        <v>134</v>
      </c>
      <c r="B110" s="551"/>
      <c r="C110" s="550"/>
      <c r="D110" s="260"/>
      <c r="E110" s="260"/>
      <c r="F110" s="260"/>
      <c r="G110" s="260"/>
    </row>
    <row r="111" spans="1:7" s="516" customFormat="1">
      <c r="A111" s="532">
        <v>10</v>
      </c>
      <c r="B111" s="531"/>
      <c r="C111" s="531" t="s">
        <v>133</v>
      </c>
      <c r="D111" s="327">
        <f>D112+D117</f>
        <v>0</v>
      </c>
      <c r="E111" s="326">
        <f>E112+E117</f>
        <v>0</v>
      </c>
      <c r="F111" s="327">
        <f>F112+F117</f>
        <v>2018790.4000000001</v>
      </c>
      <c r="G111" s="326">
        <f>G112+G117</f>
        <v>0</v>
      </c>
    </row>
    <row r="112" spans="1:7" s="516" customFormat="1">
      <c r="A112" s="539" t="s">
        <v>132</v>
      </c>
      <c r="B112" s="519"/>
      <c r="C112" s="519" t="s">
        <v>131</v>
      </c>
      <c r="D112" s="327">
        <f>D113+D114+D115+D116</f>
        <v>0</v>
      </c>
      <c r="E112" s="326">
        <f>E113+E114+E115+E116</f>
        <v>0</v>
      </c>
      <c r="F112" s="327">
        <f>F113+F114+F115+F116</f>
        <v>1563772.6</v>
      </c>
      <c r="G112" s="326">
        <f>G113+G114+G115+G116</f>
        <v>0</v>
      </c>
    </row>
    <row r="113" spans="1:7" s="516" customFormat="1">
      <c r="A113" s="537" t="s">
        <v>130</v>
      </c>
      <c r="B113" s="526"/>
      <c r="C113" s="526" t="s">
        <v>129</v>
      </c>
      <c r="D113" s="317"/>
      <c r="E113" s="316"/>
      <c r="F113" s="317">
        <f>511102+747653.8</f>
        <v>1258755.8</v>
      </c>
      <c r="G113" s="316"/>
    </row>
    <row r="114" spans="1:7" s="546" customFormat="1" ht="15" customHeight="1">
      <c r="A114" s="524">
        <v>102</v>
      </c>
      <c r="B114" s="665"/>
      <c r="C114" s="665" t="s">
        <v>128</v>
      </c>
      <c r="D114" s="343"/>
      <c r="E114" s="342"/>
      <c r="F114" s="343">
        <v>100000</v>
      </c>
      <c r="G114" s="342"/>
    </row>
    <row r="115" spans="1:7" s="516" customFormat="1">
      <c r="A115" s="537">
        <v>104</v>
      </c>
      <c r="B115" s="526"/>
      <c r="C115" s="526" t="s">
        <v>127</v>
      </c>
      <c r="D115" s="317"/>
      <c r="E115" s="316"/>
      <c r="F115" s="317">
        <v>191292.6</v>
      </c>
      <c r="G115" s="316"/>
    </row>
    <row r="116" spans="1:7" s="516" customFormat="1">
      <c r="A116" s="537">
        <v>106</v>
      </c>
      <c r="B116" s="526"/>
      <c r="C116" s="526" t="s">
        <v>126</v>
      </c>
      <c r="D116" s="317"/>
      <c r="E116" s="316"/>
      <c r="F116" s="317">
        <v>13724.2</v>
      </c>
      <c r="G116" s="316"/>
    </row>
    <row r="117" spans="1:7" s="516" customFormat="1">
      <c r="A117" s="539" t="s">
        <v>125</v>
      </c>
      <c r="B117" s="519"/>
      <c r="C117" s="519" t="s">
        <v>124</v>
      </c>
      <c r="D117" s="327">
        <f>D118+D119+D120</f>
        <v>0</v>
      </c>
      <c r="E117" s="326">
        <f>E118+E119+E120</f>
        <v>0</v>
      </c>
      <c r="F117" s="327">
        <f>F118+F119+F120</f>
        <v>455017.80000000005</v>
      </c>
      <c r="G117" s="326">
        <f>G118+G119+G120</f>
        <v>0</v>
      </c>
    </row>
    <row r="118" spans="1:7" s="516" customFormat="1">
      <c r="A118" s="537">
        <v>107</v>
      </c>
      <c r="B118" s="526"/>
      <c r="C118" s="526" t="s">
        <v>123</v>
      </c>
      <c r="D118" s="317"/>
      <c r="E118" s="316"/>
      <c r="F118" s="317">
        <v>250315.6</v>
      </c>
      <c r="G118" s="316"/>
    </row>
    <row r="119" spans="1:7" s="516" customFormat="1">
      <c r="A119" s="537">
        <v>108</v>
      </c>
      <c r="B119" s="526"/>
      <c r="C119" s="526" t="s">
        <v>122</v>
      </c>
      <c r="D119" s="317"/>
      <c r="E119" s="316"/>
      <c r="F119" s="317">
        <v>204702.2</v>
      </c>
      <c r="G119" s="316"/>
    </row>
    <row r="120" spans="1:7" s="538" customFormat="1" ht="25.5">
      <c r="A120" s="524">
        <v>109</v>
      </c>
      <c r="B120" s="523"/>
      <c r="C120" s="523" t="s">
        <v>121</v>
      </c>
      <c r="D120" s="311"/>
      <c r="E120" s="310"/>
      <c r="F120" s="311">
        <v>0</v>
      </c>
      <c r="G120" s="310"/>
    </row>
    <row r="121" spans="1:7" s="516" customFormat="1">
      <c r="A121" s="539">
        <v>14</v>
      </c>
      <c r="B121" s="519"/>
      <c r="C121" s="519" t="s">
        <v>120</v>
      </c>
      <c r="D121" s="327">
        <f>SUM(D122:D130)</f>
        <v>0</v>
      </c>
      <c r="E121" s="327">
        <f>SUM(E122:E130)</f>
        <v>0</v>
      </c>
      <c r="F121" s="327">
        <f>SUM(F122:F130)</f>
        <v>1074148.9000000001</v>
      </c>
      <c r="G121" s="327">
        <f>SUM(G122:G130)</f>
        <v>0</v>
      </c>
    </row>
    <row r="122" spans="1:7" s="516" customFormat="1">
      <c r="A122" s="537" t="s">
        <v>119</v>
      </c>
      <c r="B122" s="526"/>
      <c r="C122" s="526" t="s">
        <v>118</v>
      </c>
      <c r="D122" s="317"/>
      <c r="E122" s="316"/>
      <c r="F122" s="317">
        <v>262687.7</v>
      </c>
      <c r="G122" s="316"/>
    </row>
    <row r="123" spans="1:7" s="516" customFormat="1">
      <c r="A123" s="537">
        <v>144</v>
      </c>
      <c r="B123" s="526"/>
      <c r="C123" s="526" t="s">
        <v>117</v>
      </c>
      <c r="D123" s="317"/>
      <c r="E123" s="316"/>
      <c r="F123" s="317">
        <v>531049.1</v>
      </c>
      <c r="G123" s="316"/>
    </row>
    <row r="124" spans="1:7" s="516" customFormat="1">
      <c r="A124" s="537">
        <v>145</v>
      </c>
      <c r="B124" s="526"/>
      <c r="C124" s="526" t="s">
        <v>116</v>
      </c>
      <c r="D124" s="317"/>
      <c r="E124" s="304"/>
      <c r="F124" s="317">
        <v>228122.8</v>
      </c>
      <c r="G124" s="304"/>
    </row>
    <row r="125" spans="1:7" s="516" customFormat="1">
      <c r="A125" s="537">
        <v>146</v>
      </c>
      <c r="B125" s="526"/>
      <c r="C125" s="526" t="s">
        <v>115</v>
      </c>
      <c r="D125" s="317"/>
      <c r="E125" s="304"/>
      <c r="F125" s="317">
        <v>52289.3</v>
      </c>
      <c r="G125" s="304"/>
    </row>
    <row r="126" spans="1:7" s="538" customFormat="1" ht="29.45" customHeight="1">
      <c r="A126" s="524" t="s">
        <v>114</v>
      </c>
      <c r="B126" s="523"/>
      <c r="C126" s="523" t="s">
        <v>113</v>
      </c>
      <c r="D126" s="311"/>
      <c r="E126" s="339"/>
      <c r="F126" s="311">
        <v>0</v>
      </c>
      <c r="G126" s="339"/>
    </row>
    <row r="127" spans="1:7" s="516" customFormat="1">
      <c r="A127" s="537">
        <v>1484</v>
      </c>
      <c r="B127" s="526"/>
      <c r="C127" s="526" t="s">
        <v>112</v>
      </c>
      <c r="D127" s="317"/>
      <c r="E127" s="304"/>
      <c r="F127" s="317">
        <v>0</v>
      </c>
      <c r="G127" s="304"/>
    </row>
    <row r="128" spans="1:7" s="516" customFormat="1">
      <c r="A128" s="537">
        <v>1485</v>
      </c>
      <c r="B128" s="526"/>
      <c r="C128" s="526" t="s">
        <v>111</v>
      </c>
      <c r="D128" s="317"/>
      <c r="E128" s="304"/>
      <c r="F128" s="317">
        <v>0</v>
      </c>
      <c r="G128" s="304"/>
    </row>
    <row r="129" spans="1:7" s="516" customFormat="1">
      <c r="A129" s="537">
        <v>1486</v>
      </c>
      <c r="B129" s="526"/>
      <c r="C129" s="526" t="s">
        <v>110</v>
      </c>
      <c r="D129" s="317"/>
      <c r="E129" s="304"/>
      <c r="F129" s="317">
        <v>0</v>
      </c>
      <c r="G129" s="304"/>
    </row>
    <row r="130" spans="1:7" s="516" customFormat="1">
      <c r="A130" s="536">
        <v>1489</v>
      </c>
      <c r="B130" s="535"/>
      <c r="C130" s="535" t="s">
        <v>109</v>
      </c>
      <c r="D130" s="333"/>
      <c r="E130" s="332"/>
      <c r="F130" s="333">
        <v>0</v>
      </c>
      <c r="G130" s="332"/>
    </row>
    <row r="131" spans="1:7" s="512" customFormat="1">
      <c r="A131" s="515">
        <v>1</v>
      </c>
      <c r="B131" s="514"/>
      <c r="C131" s="515" t="s">
        <v>108</v>
      </c>
      <c r="D131" s="295">
        <f>D111+D121</f>
        <v>0</v>
      </c>
      <c r="E131" s="295">
        <f>E111+E121</f>
        <v>0</v>
      </c>
      <c r="F131" s="295">
        <f>F111+F121</f>
        <v>3092939.3000000003</v>
      </c>
      <c r="G131" s="295">
        <f>G111+G121</f>
        <v>0</v>
      </c>
    </row>
    <row r="132" spans="1:7" s="512" customFormat="1">
      <c r="A132" s="534"/>
      <c r="B132" s="534"/>
      <c r="C132" s="533"/>
      <c r="D132" s="260"/>
      <c r="E132" s="260"/>
      <c r="F132" s="260"/>
      <c r="G132" s="260"/>
    </row>
    <row r="133" spans="1:7" s="516" customFormat="1">
      <c r="A133" s="532">
        <v>20</v>
      </c>
      <c r="B133" s="531"/>
      <c r="C133" s="531" t="s">
        <v>107</v>
      </c>
      <c r="D133" s="329">
        <f>D134+D140</f>
        <v>0</v>
      </c>
      <c r="E133" s="530">
        <f>E134+E140</f>
        <v>0</v>
      </c>
      <c r="F133" s="329">
        <f>F134+F140</f>
        <v>2208047.1</v>
      </c>
      <c r="G133" s="530">
        <f>G134+G140</f>
        <v>0</v>
      </c>
    </row>
    <row r="134" spans="1:7" s="516" customFormat="1">
      <c r="A134" s="520" t="s">
        <v>106</v>
      </c>
      <c r="B134" s="519"/>
      <c r="C134" s="519" t="s">
        <v>105</v>
      </c>
      <c r="D134" s="327">
        <f>D135+D136+D138+D139</f>
        <v>0</v>
      </c>
      <c r="E134" s="326">
        <f>E135+E136+E138+E139</f>
        <v>0</v>
      </c>
      <c r="F134" s="327">
        <f>F135+F136+F138+F139</f>
        <v>831120.6</v>
      </c>
      <c r="G134" s="326">
        <f>G135+G136+G138+G139</f>
        <v>0</v>
      </c>
    </row>
    <row r="135" spans="1:7" s="525" customFormat="1">
      <c r="A135" s="527">
        <v>200</v>
      </c>
      <c r="B135" s="526"/>
      <c r="C135" s="526" t="s">
        <v>104</v>
      </c>
      <c r="D135" s="317"/>
      <c r="E135" s="316"/>
      <c r="F135" s="317">
        <v>392446.9</v>
      </c>
      <c r="G135" s="316"/>
    </row>
    <row r="136" spans="1:7" s="525" customFormat="1">
      <c r="A136" s="527">
        <v>201</v>
      </c>
      <c r="B136" s="526"/>
      <c r="C136" s="526" t="s">
        <v>103</v>
      </c>
      <c r="D136" s="317"/>
      <c r="E136" s="316"/>
      <c r="F136" s="317">
        <v>0</v>
      </c>
      <c r="G136" s="316"/>
    </row>
    <row r="137" spans="1:7" s="525" customFormat="1">
      <c r="A137" s="529" t="s">
        <v>102</v>
      </c>
      <c r="B137" s="528"/>
      <c r="C137" s="528" t="s">
        <v>101</v>
      </c>
      <c r="D137" s="322"/>
      <c r="E137" s="328"/>
      <c r="F137" s="322">
        <v>0</v>
      </c>
      <c r="G137" s="328"/>
    </row>
    <row r="138" spans="1:7" s="525" customFormat="1">
      <c r="A138" s="527">
        <v>204</v>
      </c>
      <c r="B138" s="526"/>
      <c r="C138" s="526" t="s">
        <v>100</v>
      </c>
      <c r="D138" s="317"/>
      <c r="E138" s="304"/>
      <c r="F138" s="317">
        <v>282338.3</v>
      </c>
      <c r="G138" s="304"/>
    </row>
    <row r="139" spans="1:7" s="525" customFormat="1">
      <c r="A139" s="527">
        <v>205</v>
      </c>
      <c r="B139" s="526"/>
      <c r="C139" s="526" t="s">
        <v>99</v>
      </c>
      <c r="D139" s="317"/>
      <c r="E139" s="304"/>
      <c r="F139" s="317">
        <v>156335.4</v>
      </c>
      <c r="G139" s="304"/>
    </row>
    <row r="140" spans="1:7" s="525" customFormat="1">
      <c r="A140" s="520" t="s">
        <v>98</v>
      </c>
      <c r="B140" s="519"/>
      <c r="C140" s="519" t="s">
        <v>97</v>
      </c>
      <c r="D140" s="327">
        <f>D141+D143+D144</f>
        <v>0</v>
      </c>
      <c r="E140" s="326">
        <f>E141+E143+E144</f>
        <v>0</v>
      </c>
      <c r="F140" s="327">
        <f>F141+F143+F144</f>
        <v>1376926.5</v>
      </c>
      <c r="G140" s="326">
        <f>G141+G143+G144</f>
        <v>0</v>
      </c>
    </row>
    <row r="141" spans="1:7" s="525" customFormat="1">
      <c r="A141" s="527">
        <v>206</v>
      </c>
      <c r="B141" s="526"/>
      <c r="C141" s="526" t="s">
        <v>96</v>
      </c>
      <c r="D141" s="317"/>
      <c r="E141" s="304"/>
      <c r="F141" s="317">
        <v>1181072.3999999999</v>
      </c>
      <c r="G141" s="304"/>
    </row>
    <row r="142" spans="1:7" s="525" customFormat="1">
      <c r="A142" s="529" t="s">
        <v>95</v>
      </c>
      <c r="B142" s="528"/>
      <c r="C142" s="528" t="s">
        <v>94</v>
      </c>
      <c r="D142" s="322"/>
      <c r="E142" s="328"/>
      <c r="F142" s="322">
        <v>0</v>
      </c>
      <c r="G142" s="328"/>
    </row>
    <row r="143" spans="1:7" s="525" customFormat="1">
      <c r="A143" s="527">
        <v>208</v>
      </c>
      <c r="B143" s="526"/>
      <c r="C143" s="526" t="s">
        <v>93</v>
      </c>
      <c r="D143" s="317"/>
      <c r="E143" s="304"/>
      <c r="F143" s="317">
        <v>172477.6</v>
      </c>
      <c r="G143" s="304"/>
    </row>
    <row r="144" spans="1:7" s="521" customFormat="1" ht="25.5">
      <c r="A144" s="524">
        <v>209</v>
      </c>
      <c r="B144" s="523"/>
      <c r="C144" s="523" t="s">
        <v>92</v>
      </c>
      <c r="D144" s="311"/>
      <c r="E144" s="339"/>
      <c r="F144" s="311">
        <v>23376.5</v>
      </c>
      <c r="G144" s="339"/>
    </row>
    <row r="145" spans="1:7" s="516" customFormat="1">
      <c r="A145" s="520">
        <v>29</v>
      </c>
      <c r="B145" s="519"/>
      <c r="C145" s="519" t="s">
        <v>61</v>
      </c>
      <c r="D145" s="305"/>
      <c r="E145" s="304"/>
      <c r="F145" s="305">
        <v>884892.2</v>
      </c>
      <c r="G145" s="304"/>
    </row>
    <row r="146" spans="1:7" s="516" customFormat="1">
      <c r="A146" s="518" t="s">
        <v>91</v>
      </c>
      <c r="B146" s="517"/>
      <c r="C146" s="517" t="s">
        <v>90</v>
      </c>
      <c r="D146" s="300"/>
      <c r="E146" s="299"/>
      <c r="F146" s="300">
        <v>290209.2</v>
      </c>
      <c r="G146" s="299"/>
    </row>
    <row r="147" spans="1:7" s="512" customFormat="1">
      <c r="A147" s="515">
        <v>2</v>
      </c>
      <c r="B147" s="514"/>
      <c r="C147" s="515" t="s">
        <v>89</v>
      </c>
      <c r="D147" s="295">
        <f>D133+D145</f>
        <v>0</v>
      </c>
      <c r="E147" s="295">
        <f>E133+E145</f>
        <v>0</v>
      </c>
      <c r="F147" s="295">
        <f>F133+F145</f>
        <v>3092939.3</v>
      </c>
      <c r="G147" s="295">
        <f>G133+G145</f>
        <v>0</v>
      </c>
    </row>
    <row r="148" spans="1:7" ht="7.5" customHeight="1">
      <c r="D148" s="512"/>
      <c r="F148" s="512"/>
    </row>
    <row r="149" spans="1:7" ht="13.5" customHeight="1">
      <c r="A149" s="511" t="s">
        <v>88</v>
      </c>
      <c r="B149" s="509"/>
      <c r="C149" s="664" t="s">
        <v>87</v>
      </c>
      <c r="D149" s="509"/>
      <c r="E149" s="509"/>
      <c r="F149" s="509"/>
      <c r="G149" s="509"/>
    </row>
    <row r="150" spans="1:7">
      <c r="A150" s="498" t="s">
        <v>86</v>
      </c>
      <c r="B150" s="829"/>
      <c r="C150" s="829" t="s">
        <v>85</v>
      </c>
      <c r="D150" s="268">
        <f>D77+SUM(D8:D12)-D30-D31+D16-D33+D59+D63-D73+D64-D74-D54+D20-D35</f>
        <v>0</v>
      </c>
      <c r="E150" s="268">
        <f>E77+SUM(E8:E12)-E30-E31+E16-E33+E59+E63-E73+E64-E74-E54+E20-E35</f>
        <v>21761.600000000326</v>
      </c>
      <c r="F150" s="268">
        <f>F77+SUM(F8:F12)-F30-F31+F16-F33+F59+F63-F73+F64-F74-F54+F20-F35</f>
        <v>89093.699999999662</v>
      </c>
      <c r="G150" s="268">
        <f>G77+SUM(G8:G12)-G30-G31+G16-G33+G59+G63-G73+G64-G74-G54+G20-G35</f>
        <v>52925.000000000349</v>
      </c>
    </row>
    <row r="151" spans="1:7">
      <c r="A151" s="489" t="s">
        <v>84</v>
      </c>
      <c r="B151" s="827"/>
      <c r="C151" s="827" t="s">
        <v>83</v>
      </c>
      <c r="D151" s="269">
        <f>IF(D177=0,0,D150/D177)</f>
        <v>0</v>
      </c>
      <c r="E151" s="269">
        <f>IF(E177=0,0,E150/E177)</f>
        <v>5.7500668303642625E-3</v>
      </c>
      <c r="F151" s="269">
        <f>IF(F177=0,0,F150/F177)</f>
        <v>2.3221674532489918E-2</v>
      </c>
      <c r="G151" s="269">
        <f>IF(G177=0,0,G150/G177)</f>
        <v>1.3613448240010801E-2</v>
      </c>
    </row>
    <row r="152" spans="1:7" s="504" customFormat="1" ht="25.5">
      <c r="A152" s="508" t="s">
        <v>81</v>
      </c>
      <c r="B152" s="661"/>
      <c r="C152" s="661" t="s">
        <v>82</v>
      </c>
      <c r="D152" s="505">
        <f>IF(D107=0,0,D150/D107)</f>
        <v>0</v>
      </c>
      <c r="E152" s="505">
        <f>IF(E107=0,0,E150/E107)</f>
        <v>4.7576582061930987E-2</v>
      </c>
      <c r="F152" s="505">
        <f>IF(F107=0,0,F150/F107)</f>
        <v>0.23388900118921582</v>
      </c>
      <c r="G152" s="505">
        <f>IF(G107=0,0,G150/G107)</f>
        <v>0.19252763594615685</v>
      </c>
    </row>
    <row r="153" spans="1:7" s="504" customFormat="1" ht="25.5">
      <c r="A153" s="497" t="s">
        <v>81</v>
      </c>
      <c r="B153" s="663"/>
      <c r="C153" s="663" t="s">
        <v>80</v>
      </c>
      <c r="D153" s="274">
        <f>IF(0=D108,0,D150/D108)</f>
        <v>0</v>
      </c>
      <c r="E153" s="274">
        <f>IF(0=E108,0,E150/E108)</f>
        <v>0.14909004212032331</v>
      </c>
      <c r="F153" s="274">
        <f>IF(0=F108,0,F150/F108)</f>
        <v>0.81930063010604448</v>
      </c>
      <c r="G153" s="274">
        <f>IF(0=G108,0,G150/G108)</f>
        <v>0.2759734418907106</v>
      </c>
    </row>
    <row r="154" spans="1:7" ht="25.5">
      <c r="A154" s="503" t="s">
        <v>79</v>
      </c>
      <c r="B154" s="662"/>
      <c r="C154" s="662" t="s">
        <v>78</v>
      </c>
      <c r="D154" s="279">
        <f>D150-D107</f>
        <v>0</v>
      </c>
      <c r="E154" s="279">
        <f>E150-E107</f>
        <v>-435639.89999999967</v>
      </c>
      <c r="F154" s="279">
        <f>F150-F107</f>
        <v>-291829.30000000034</v>
      </c>
      <c r="G154" s="279">
        <f>G150-G107</f>
        <v>-221970.59999999963</v>
      </c>
    </row>
    <row r="155" spans="1:7" ht="25.5">
      <c r="A155" s="497" t="s">
        <v>77</v>
      </c>
      <c r="B155" s="663"/>
      <c r="C155" s="663" t="s">
        <v>76</v>
      </c>
      <c r="D155" s="282">
        <f>D150-D108</f>
        <v>0</v>
      </c>
      <c r="E155" s="282">
        <f>E150-E108</f>
        <v>-124201.19999999966</v>
      </c>
      <c r="F155" s="282">
        <f>F150-F108</f>
        <v>-19649.900000000343</v>
      </c>
      <c r="G155" s="282">
        <f>G150-G108</f>
        <v>-138850.69999999963</v>
      </c>
    </row>
    <row r="156" spans="1:7">
      <c r="A156" s="498" t="s">
        <v>75</v>
      </c>
      <c r="B156" s="829"/>
      <c r="C156" s="829" t="s">
        <v>74</v>
      </c>
      <c r="D156" s="277">
        <f>D135+D136-D137+D141-D142</f>
        <v>0</v>
      </c>
      <c r="E156" s="277">
        <f>E135+E136-E137+E141-E142</f>
        <v>0</v>
      </c>
      <c r="F156" s="277">
        <f>F135+F136-F137+F141-F142</f>
        <v>1573519.2999999998</v>
      </c>
      <c r="G156" s="277">
        <f>G135+G136-G137+G141-G142</f>
        <v>0</v>
      </c>
    </row>
    <row r="157" spans="1:7">
      <c r="A157" s="492" t="s">
        <v>73</v>
      </c>
      <c r="B157" s="828"/>
      <c r="C157" s="828" t="s">
        <v>72</v>
      </c>
      <c r="D157" s="273">
        <f>IF(D177=0,0,D156/D177)</f>
        <v>0</v>
      </c>
      <c r="E157" s="273">
        <f>IF(E177=0,0,E156/E177)</f>
        <v>0</v>
      </c>
      <c r="F157" s="273">
        <f>IF(F177=0,0,F156/F177)</f>
        <v>0.41012723744991508</v>
      </c>
      <c r="G157" s="273">
        <f>IF(G177=0,0,G156/G177)</f>
        <v>0</v>
      </c>
    </row>
    <row r="158" spans="1:7">
      <c r="A158" s="498" t="s">
        <v>71</v>
      </c>
      <c r="B158" s="829"/>
      <c r="C158" s="829" t="s">
        <v>70</v>
      </c>
      <c r="D158" s="277">
        <f>D133-D142-D111</f>
        <v>0</v>
      </c>
      <c r="E158" s="277">
        <f>E133-E142-E111</f>
        <v>0</v>
      </c>
      <c r="F158" s="277">
        <f>F133-F142-F111</f>
        <v>189256.69999999995</v>
      </c>
      <c r="G158" s="277">
        <f>G133-G142-G111</f>
        <v>0</v>
      </c>
    </row>
    <row r="159" spans="1:7">
      <c r="A159" s="489" t="s">
        <v>69</v>
      </c>
      <c r="B159" s="827"/>
      <c r="C159" s="827" t="s">
        <v>68</v>
      </c>
      <c r="D159" s="265">
        <f>D121-D123-D124-D142-D145</f>
        <v>0</v>
      </c>
      <c r="E159" s="265">
        <f>E121-E123-E124-E142-E145</f>
        <v>0</v>
      </c>
      <c r="F159" s="265">
        <f>F121-F123-F124-F142-F145</f>
        <v>-569915.19999999972</v>
      </c>
      <c r="G159" s="265">
        <f>G121-G123-G124-G142-G145</f>
        <v>0</v>
      </c>
    </row>
    <row r="160" spans="1:7">
      <c r="A160" s="489" t="s">
        <v>66</v>
      </c>
      <c r="B160" s="827"/>
      <c r="C160" s="827" t="s">
        <v>67</v>
      </c>
      <c r="D160" s="276" t="str">
        <f>IF(D175=0,"-",1000*D158/D175)</f>
        <v>-</v>
      </c>
      <c r="E160" s="276">
        <f>IF(E175=0,"-",1000*E158/E175)</f>
        <v>0</v>
      </c>
      <c r="F160" s="276">
        <f>IF(F175=0,"-",1000*F158/F175)</f>
        <v>381.75372562308866</v>
      </c>
      <c r="G160" s="276">
        <f>IF(G175=0,"-",1000*G158/G175)</f>
        <v>0</v>
      </c>
    </row>
    <row r="161" spans="1:7">
      <c r="A161" s="489" t="s">
        <v>66</v>
      </c>
      <c r="B161" s="827"/>
      <c r="C161" s="827" t="s">
        <v>65</v>
      </c>
      <c r="D161" s="265">
        <f>IF(D175=0,0,1000*(D159/D175))</f>
        <v>0</v>
      </c>
      <c r="E161" s="265">
        <f>IF(E175=0,0,1000*(E159/E175))</f>
        <v>0</v>
      </c>
      <c r="F161" s="265">
        <f>IF(F175=0,0,1000*(F159/F175))</f>
        <v>-1149.5881038252683</v>
      </c>
      <c r="G161" s="265">
        <f>IF(G175=0,0,1000*(G159/G175))</f>
        <v>0</v>
      </c>
    </row>
    <row r="162" spans="1:7">
      <c r="A162" s="492" t="s">
        <v>64</v>
      </c>
      <c r="B162" s="828"/>
      <c r="C162" s="828" t="s">
        <v>63</v>
      </c>
      <c r="D162" s="273">
        <f>IF((D22+D23+D65+D66)=0,0,D158/(D22+D23+D65+D66))</f>
        <v>0</v>
      </c>
      <c r="E162" s="273">
        <f>IF((E22+E23+E65+E66)=0,0,E158/(E22+E23+E65+E66))</f>
        <v>0</v>
      </c>
      <c r="F162" s="273">
        <f>IF((F22+F23+F65+F66)=0,0,F158/(F22+F23+F65+F66))</f>
        <v>9.3114439572762261E-2</v>
      </c>
      <c r="G162" s="273">
        <f>IF((G22+G23+G65+G66)=0,0,G158/(G22+G23+G65+G66))</f>
        <v>0</v>
      </c>
    </row>
    <row r="163" spans="1:7">
      <c r="A163" s="489" t="s">
        <v>62</v>
      </c>
      <c r="B163" s="827"/>
      <c r="C163" s="827" t="s">
        <v>61</v>
      </c>
      <c r="D163" s="268">
        <f>D145</f>
        <v>0</v>
      </c>
      <c r="E163" s="268">
        <f>E145</f>
        <v>0</v>
      </c>
      <c r="F163" s="268">
        <f>F145</f>
        <v>884892.2</v>
      </c>
      <c r="G163" s="268">
        <f>G145</f>
        <v>0</v>
      </c>
    </row>
    <row r="164" spans="1:7" ht="25.5">
      <c r="A164" s="497" t="s">
        <v>60</v>
      </c>
      <c r="B164" s="655"/>
      <c r="C164" s="655" t="s">
        <v>59</v>
      </c>
      <c r="D164" s="274">
        <f>IF(D178=0,0,D146/D178)</f>
        <v>0</v>
      </c>
      <c r="E164" s="274">
        <f>IF(E178=0,0,E146/E178)</f>
        <v>0</v>
      </c>
      <c r="F164" s="274">
        <f>IF(F178=0,0,F146/F178)</f>
        <v>7.4623975357486258E-2</v>
      </c>
      <c r="G164" s="274">
        <f>IF(G178=0,0,G146/G178)</f>
        <v>0</v>
      </c>
    </row>
    <row r="165" spans="1:7">
      <c r="A165" s="486" t="s">
        <v>58</v>
      </c>
      <c r="B165" s="826"/>
      <c r="C165" s="826" t="s">
        <v>57</v>
      </c>
      <c r="D165" s="262">
        <f>IF(D177=0,0,D180/D177)</f>
        <v>0</v>
      </c>
      <c r="E165" s="262">
        <f>IF(E177=0,0,E180/E177)</f>
        <v>3.9343789106860705E-2</v>
      </c>
      <c r="F165" s="262">
        <f>IF(F177=0,0,F180/F177)</f>
        <v>3.8510488272707318E-2</v>
      </c>
      <c r="G165" s="262">
        <f>IF(G177=0,0,G180/G177)</f>
        <v>4.5410322062418504E-2</v>
      </c>
    </row>
    <row r="166" spans="1:7">
      <c r="A166" s="489" t="s">
        <v>56</v>
      </c>
      <c r="B166" s="827"/>
      <c r="C166" s="827" t="s">
        <v>55</v>
      </c>
      <c r="D166" s="268">
        <f>D55</f>
        <v>0</v>
      </c>
      <c r="E166" s="268">
        <f>E55</f>
        <v>89567.7</v>
      </c>
      <c r="F166" s="268">
        <f>F55</f>
        <v>94364.099999999977</v>
      </c>
      <c r="G166" s="268">
        <f>G55</f>
        <v>82720.600000000006</v>
      </c>
    </row>
    <row r="167" spans="1:7">
      <c r="A167" s="492" t="s">
        <v>54</v>
      </c>
      <c r="B167" s="828"/>
      <c r="C167" s="828" t="s">
        <v>53</v>
      </c>
      <c r="D167" s="273">
        <f>IF(0=D111,0,(D44+D45+D46+D47+D48)/D111)</f>
        <v>0</v>
      </c>
      <c r="E167" s="273">
        <f>IF(0=E111,0,(E44+E45+E46+E47+E48)/E111)</f>
        <v>0</v>
      </c>
      <c r="F167" s="273">
        <f>IF(0=F111,0,(F44+F45+F46+F47+F48)/F111)</f>
        <v>1.1060534070302691E-2</v>
      </c>
      <c r="G167" s="273">
        <f>IF(0=G111,0,(G44+G45+G46+G47+G48)/G111)</f>
        <v>0</v>
      </c>
    </row>
    <row r="168" spans="1:7">
      <c r="A168" s="489" t="s">
        <v>52</v>
      </c>
      <c r="B168" s="829"/>
      <c r="C168" s="829" t="s">
        <v>51</v>
      </c>
      <c r="D168" s="268">
        <f>D38-D44</f>
        <v>0</v>
      </c>
      <c r="E168" s="268">
        <f>E38-E44</f>
        <v>20949.3</v>
      </c>
      <c r="F168" s="268">
        <f>F38-F44</f>
        <v>21956.2</v>
      </c>
      <c r="G168" s="268">
        <f>G38-G44</f>
        <v>22409.200000000001</v>
      </c>
    </row>
    <row r="169" spans="1:7">
      <c r="A169" s="492" t="s">
        <v>50</v>
      </c>
      <c r="B169" s="828"/>
      <c r="C169" s="828" t="s">
        <v>49</v>
      </c>
      <c r="D169" s="269">
        <f>IF(D177=0,0,D168/D177)</f>
        <v>0</v>
      </c>
      <c r="E169" s="269">
        <f>IF(E177=0,0,E168/E177)</f>
        <v>5.5354328288980698E-3</v>
      </c>
      <c r="F169" s="269">
        <f>IF(F177=0,0,F168/F177)</f>
        <v>5.7227360674240394E-3</v>
      </c>
      <c r="G169" s="269">
        <f>IF(G177=0,0,G168/G177)</f>
        <v>5.7641281870580647E-3</v>
      </c>
    </row>
    <row r="170" spans="1:7">
      <c r="A170" s="489" t="s">
        <v>48</v>
      </c>
      <c r="B170" s="827"/>
      <c r="C170" s="827" t="s">
        <v>47</v>
      </c>
      <c r="D170" s="268">
        <f>SUM(D82:D87)+SUM(D89:D94)</f>
        <v>0</v>
      </c>
      <c r="E170" s="268">
        <f>SUM(E82:E87)+SUM(E89:E94)</f>
        <v>516813.9</v>
      </c>
      <c r="F170" s="268">
        <f>SUM(F82:F87)+SUM(F89:F94)</f>
        <v>428687.6</v>
      </c>
      <c r="G170" s="268">
        <f>SUM(G82:G87)+SUM(G89:G94)</f>
        <v>400412.5</v>
      </c>
    </row>
    <row r="171" spans="1:7">
      <c r="A171" s="489" t="s">
        <v>46</v>
      </c>
      <c r="B171" s="827"/>
      <c r="C171" s="827" t="s">
        <v>45</v>
      </c>
      <c r="D171" s="265">
        <f>SUM(D96:D102)+SUM(D104:D105)</f>
        <v>0</v>
      </c>
      <c r="E171" s="265">
        <f>SUM(E96:E102)+SUM(E104:E105)</f>
        <v>59412.399999999994</v>
      </c>
      <c r="F171" s="265">
        <f>SUM(F96:F102)+SUM(F104:F105)</f>
        <v>47764.6</v>
      </c>
      <c r="G171" s="265">
        <f>SUM(G96:G102)+SUM(G104:G105)</f>
        <v>125516.9</v>
      </c>
    </row>
    <row r="172" spans="1:7">
      <c r="A172" s="486" t="s">
        <v>44</v>
      </c>
      <c r="B172" s="826"/>
      <c r="C172" s="826" t="s">
        <v>43</v>
      </c>
      <c r="D172" s="262">
        <f>IF(D184=0,0,D170/D184)</f>
        <v>0</v>
      </c>
      <c r="E172" s="262">
        <f>IF(E184=0,0,E170/E184)</f>
        <v>0.12119093909172413</v>
      </c>
      <c r="F172" s="262">
        <f>IF(F184=0,0,F170/F184)</f>
        <v>0.10288689489529677</v>
      </c>
      <c r="G172" s="262">
        <f>IF(G184=0,0,G170/G184)</f>
        <v>9.5464227042130423E-2</v>
      </c>
    </row>
    <row r="173" spans="1:7">
      <c r="A173" s="678"/>
    </row>
    <row r="174" spans="1:7">
      <c r="A174" s="788" t="s">
        <v>42</v>
      </c>
      <c r="B174" s="534"/>
      <c r="C174" s="533"/>
      <c r="D174" s="260"/>
      <c r="E174" s="260"/>
      <c r="F174" s="260"/>
      <c r="G174" s="260"/>
    </row>
    <row r="175" spans="1:7" s="480" customFormat="1">
      <c r="A175" s="762" t="s">
        <v>41</v>
      </c>
      <c r="B175" s="534"/>
      <c r="C175" s="534" t="s">
        <v>259</v>
      </c>
      <c r="D175" s="650"/>
      <c r="E175" s="650">
        <v>491633</v>
      </c>
      <c r="F175" s="650">
        <v>495756</v>
      </c>
      <c r="G175" s="650">
        <v>495756</v>
      </c>
    </row>
    <row r="176" spans="1:7">
      <c r="A176" s="479" t="s">
        <v>39</v>
      </c>
      <c r="B176" s="477"/>
      <c r="C176" s="477"/>
      <c r="D176" s="477"/>
      <c r="E176" s="477"/>
      <c r="F176" s="477"/>
      <c r="G176" s="477"/>
    </row>
    <row r="177" spans="1:7">
      <c r="A177" s="478" t="s">
        <v>38</v>
      </c>
      <c r="B177" s="477"/>
      <c r="C177" s="477" t="s">
        <v>37</v>
      </c>
      <c r="D177" s="475">
        <f>SUM(D22:D32)+SUM(D44:D53)+SUM(D65:D72)+D75</f>
        <v>0</v>
      </c>
      <c r="E177" s="475">
        <f>SUM(E22:E32)+SUM(E44:E53)+SUM(E65:E72)+E75</f>
        <v>3784582.1</v>
      </c>
      <c r="F177" s="475">
        <f>SUM(F22:F32)+SUM(F44:F53)+SUM(F65:F72)+F75</f>
        <v>3836661.3</v>
      </c>
      <c r="G177" s="475">
        <f>SUM(G22:G32)+SUM(G44:G53)+SUM(G65:G72)+G75</f>
        <v>3887699.8000000003</v>
      </c>
    </row>
    <row r="178" spans="1:7">
      <c r="A178" s="478" t="s">
        <v>36</v>
      </c>
      <c r="B178" s="477"/>
      <c r="C178" s="477" t="s">
        <v>35</v>
      </c>
      <c r="D178" s="475">
        <f>D78-D17-D20-D59-D63-D64</f>
        <v>0</v>
      </c>
      <c r="E178" s="475">
        <f>E78-E17-E20-E59-E63-E64</f>
        <v>3890241.0999999996</v>
      </c>
      <c r="F178" s="475">
        <f>F78-F17-F20-F59-F63-F64</f>
        <v>3888953.899999999</v>
      </c>
      <c r="G178" s="475">
        <f>G78-G17-G20-G59-G63-G64</f>
        <v>3963484.2999999984</v>
      </c>
    </row>
    <row r="179" spans="1:7">
      <c r="A179" s="478"/>
      <c r="B179" s="477"/>
      <c r="C179" s="477" t="s">
        <v>34</v>
      </c>
      <c r="D179" s="475">
        <f>D178+D170</f>
        <v>0</v>
      </c>
      <c r="E179" s="475">
        <f>E178+E170</f>
        <v>4407055</v>
      </c>
      <c r="F179" s="475">
        <f>F178+F170</f>
        <v>4317641.4999999991</v>
      </c>
      <c r="G179" s="475">
        <f>G178+G170</f>
        <v>4363896.7999999989</v>
      </c>
    </row>
    <row r="180" spans="1:7">
      <c r="A180" s="478" t="s">
        <v>33</v>
      </c>
      <c r="B180" s="477"/>
      <c r="C180" s="477" t="s">
        <v>32</v>
      </c>
      <c r="D180" s="475">
        <f>D38-D44+D8+D9+D10+D16-D33</f>
        <v>0</v>
      </c>
      <c r="E180" s="475">
        <f>E38-E44+E8+E9+E10+E16-E33</f>
        <v>148899.80000000002</v>
      </c>
      <c r="F180" s="475">
        <f>F38-F44+F8+F9+F10+F16-F33</f>
        <v>147751.70000000001</v>
      </c>
      <c r="G180" s="475">
        <f>G38-G44+G8+G9+G10+G16-G33</f>
        <v>176541.7</v>
      </c>
    </row>
    <row r="181" spans="1:7" ht="27.6" customHeight="1">
      <c r="A181" s="474" t="s">
        <v>31</v>
      </c>
      <c r="B181" s="472"/>
      <c r="C181" s="472" t="s">
        <v>30</v>
      </c>
      <c r="D181" s="825">
        <f>D22+D23+D24+D25+D26+D29+SUM(D44:D47)+SUM(D49:D53)-D54+D32-D33+SUM(D65:D70)+D72</f>
        <v>0</v>
      </c>
      <c r="E181" s="249">
        <f>E22+E23+E24+E25+E26+E29+SUM(E44:E47)+SUM(E49:E53)-E54+E32-E33+SUM(E65:E70)+E72</f>
        <v>3753327.8999999994</v>
      </c>
      <c r="F181" s="825">
        <f>F22+F23+F24+F25+F26+F29+SUM(F44:F47)+SUM(F49:F53)-F54+F32-F33+SUM(F65:F70)+F72</f>
        <v>3818310.6999999997</v>
      </c>
      <c r="G181" s="249">
        <f>G22+G23+G24+G25+G26+G29+SUM(G44:G47)+SUM(G49:G53)-G54+G32-G33+SUM(G65:G70)+G72</f>
        <v>3831447.4999999995</v>
      </c>
    </row>
    <row r="182" spans="1:7">
      <c r="A182" s="473" t="s">
        <v>29</v>
      </c>
      <c r="B182" s="472"/>
      <c r="C182" s="472" t="s">
        <v>28</v>
      </c>
      <c r="D182" s="825">
        <f>D181+D171</f>
        <v>0</v>
      </c>
      <c r="E182" s="249">
        <f>E181+E171</f>
        <v>3812740.2999999993</v>
      </c>
      <c r="F182" s="825">
        <f>F181+F171</f>
        <v>3866075.3</v>
      </c>
      <c r="G182" s="249">
        <f>G181+G171</f>
        <v>3956964.3999999994</v>
      </c>
    </row>
    <row r="183" spans="1:7">
      <c r="A183" s="473" t="s">
        <v>27</v>
      </c>
      <c r="B183" s="472"/>
      <c r="C183" s="472" t="s">
        <v>26</v>
      </c>
      <c r="D183" s="249">
        <f>D4+D5-D7+D38+D39+D40+D41+D43+D13-D16+D57+D58+D60+D62</f>
        <v>0</v>
      </c>
      <c r="E183" s="249">
        <f>E4+E5-E7+E38+E39+E40+E41+E43+E13-E16+E57+E58+E60+E62</f>
        <v>3747646</v>
      </c>
      <c r="F183" s="249">
        <f>F4+F5-F7+F38+F39+F40+F41+F43+F13-F16+F57+F58+F60+F62</f>
        <v>3737903.3</v>
      </c>
      <c r="G183" s="249">
        <f>G4+G5-G7+G38+G39+G40+G41+G43+G13-G16+G57+G58+G60+G62</f>
        <v>3793959.6999999997</v>
      </c>
    </row>
    <row r="184" spans="1:7">
      <c r="A184" s="473" t="s">
        <v>25</v>
      </c>
      <c r="B184" s="472"/>
      <c r="C184" s="472" t="s">
        <v>24</v>
      </c>
      <c r="D184" s="825">
        <f>D183+D170</f>
        <v>0</v>
      </c>
      <c r="E184" s="249">
        <f>E183+E170</f>
        <v>4264459.9000000004</v>
      </c>
      <c r="F184" s="825">
        <f>F183+F170</f>
        <v>4166590.9</v>
      </c>
      <c r="G184" s="249">
        <f>G183+G170</f>
        <v>4194372.1999999993</v>
      </c>
    </row>
    <row r="185" spans="1:7">
      <c r="A185" s="473"/>
      <c r="B185" s="472"/>
      <c r="C185" s="472" t="s">
        <v>23</v>
      </c>
      <c r="D185" s="825">
        <f t="shared" ref="D185:G186" si="0">D181-D183</f>
        <v>0</v>
      </c>
      <c r="E185" s="249">
        <f t="shared" si="0"/>
        <v>5681.8999999994412</v>
      </c>
      <c r="F185" s="825">
        <f t="shared" si="0"/>
        <v>80407.399999999907</v>
      </c>
      <c r="G185" s="249">
        <f t="shared" si="0"/>
        <v>37487.799999999814</v>
      </c>
    </row>
    <row r="186" spans="1:7">
      <c r="A186" s="473"/>
      <c r="B186" s="472"/>
      <c r="C186" s="472" t="s">
        <v>22</v>
      </c>
      <c r="D186" s="825">
        <f t="shared" si="0"/>
        <v>0</v>
      </c>
      <c r="E186" s="249">
        <f t="shared" si="0"/>
        <v>-451719.60000000102</v>
      </c>
      <c r="F186" s="825">
        <f t="shared" si="0"/>
        <v>-300515.60000000009</v>
      </c>
      <c r="G186" s="249">
        <f t="shared" si="0"/>
        <v>-237407.79999999981</v>
      </c>
    </row>
    <row r="193" spans="5:7">
      <c r="E193" s="650">
        <v>491699</v>
      </c>
      <c r="F193" s="650">
        <v>495756</v>
      </c>
      <c r="G193" s="650">
        <v>495756</v>
      </c>
    </row>
  </sheetData>
  <sheetProtection selectLockedCells="1" sort="0" autoFilter="0" pivotTables="0"/>
  <autoFilter ref="A1:G1"/>
  <mergeCells count="2">
    <mergeCell ref="A3:C3"/>
    <mergeCell ref="A81:C81"/>
  </mergeCells>
  <pageMargins left="0.23622047244094491" right="0.23622047244094491" top="0.74803149606299213" bottom="0.74803149606299213" header="0.31496062992125984" footer="0.31496062992125984"/>
  <pageSetup paperSize="9" orientation="landscape" r:id="rId1"/>
  <headerFooter alignWithMargins="0">
    <oddHeader>&amp;LFachgruppe für kantonale Finanzfragen (FkF)
Groupe d'études pour les finances cantonales
&amp;CKanton VD&amp;RZürich, 11.05.2015</oddHeader>
    <oddFooter>&amp;L&amp;F / &amp;A</oddFooter>
  </headerFooter>
  <rowBreaks count="2" manualBreakCount="2">
    <brk id="79" max="16383" man="1"/>
    <brk id="14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9"/>
  <dimension ref="A1:I43"/>
  <sheetViews>
    <sheetView zoomScaleNormal="100" workbookViewId="0">
      <selection activeCell="G10" sqref="G10"/>
    </sheetView>
  </sheetViews>
  <sheetFormatPr baseColWidth="10" defaultRowHeight="12.75"/>
  <cols>
    <col min="1" max="1" width="10.42578125" customWidth="1"/>
    <col min="2" max="2" width="52.42578125" bestFit="1" customWidth="1"/>
    <col min="3" max="3" width="13.28515625" bestFit="1" customWidth="1"/>
    <col min="4" max="4" width="11.5703125" bestFit="1" customWidth="1"/>
    <col min="5" max="5" width="13.28515625" bestFit="1" customWidth="1"/>
    <col min="6" max="6" width="11.5703125" bestFit="1" customWidth="1"/>
    <col min="7" max="7" width="13.28515625" bestFit="1" customWidth="1"/>
    <col min="8" max="8" width="11.5703125" style="65" bestFit="1" customWidth="1"/>
    <col min="9" max="9" width="13.28515625" bestFit="1" customWidth="1"/>
  </cols>
  <sheetData>
    <row r="1" spans="1:9">
      <c r="A1" s="5" t="s">
        <v>528</v>
      </c>
      <c r="B1" s="6" t="s">
        <v>529</v>
      </c>
      <c r="C1" s="54" t="s">
        <v>255</v>
      </c>
      <c r="D1" s="7" t="s">
        <v>530</v>
      </c>
      <c r="E1" s="54" t="s">
        <v>254</v>
      </c>
      <c r="F1" s="7" t="s">
        <v>530</v>
      </c>
      <c r="G1" s="54" t="s">
        <v>255</v>
      </c>
      <c r="H1" s="7" t="s">
        <v>530</v>
      </c>
      <c r="I1" s="55" t="s">
        <v>254</v>
      </c>
    </row>
    <row r="2" spans="1:9">
      <c r="A2" s="112">
        <v>0</v>
      </c>
      <c r="B2" s="115">
        <v>0</v>
      </c>
      <c r="C2" s="62">
        <v>2013</v>
      </c>
      <c r="D2" s="3" t="s">
        <v>531</v>
      </c>
      <c r="E2" s="62">
        <v>2014</v>
      </c>
      <c r="F2" s="3" t="s">
        <v>531</v>
      </c>
      <c r="G2" s="63">
        <v>2014</v>
      </c>
      <c r="H2" s="3" t="s">
        <v>531</v>
      </c>
      <c r="I2" s="64">
        <v>2015</v>
      </c>
    </row>
    <row r="3" spans="1:9">
      <c r="A3" s="112">
        <v>0</v>
      </c>
      <c r="B3" s="2" t="s">
        <v>532</v>
      </c>
      <c r="C3" s="114">
        <v>0</v>
      </c>
      <c r="D3" s="113">
        <v>0</v>
      </c>
      <c r="E3" s="114">
        <v>0</v>
      </c>
      <c r="F3" s="115">
        <v>0</v>
      </c>
      <c r="G3" s="116">
        <v>0</v>
      </c>
      <c r="H3" s="113">
        <v>0</v>
      </c>
      <c r="I3" s="105">
        <v>0</v>
      </c>
    </row>
    <row r="4" spans="1:9">
      <c r="A4" s="5" t="s">
        <v>533</v>
      </c>
      <c r="B4" s="9" t="s">
        <v>250</v>
      </c>
      <c r="C4" s="10">
        <v>3171719</v>
      </c>
      <c r="D4" s="11">
        <v>-4.4856464270636866E-2</v>
      </c>
      <c r="E4" s="10">
        <v>3029446.9</v>
      </c>
      <c r="F4" s="11">
        <v>-1.6883114868261925E-2</v>
      </c>
      <c r="G4" s="10">
        <v>2978300.4</v>
      </c>
      <c r="H4" s="241">
        <v>2.4039784569749978E-2</v>
      </c>
      <c r="I4" s="12">
        <v>3049898.1</v>
      </c>
    </row>
    <row r="5" spans="1:9">
      <c r="A5" s="13" t="s">
        <v>534</v>
      </c>
      <c r="B5" s="14" t="s">
        <v>535</v>
      </c>
      <c r="C5" s="15">
        <v>797275.5</v>
      </c>
      <c r="D5" s="16">
        <v>4.076156861712163E-2</v>
      </c>
      <c r="E5" s="15">
        <v>829773.7</v>
      </c>
      <c r="F5" s="16">
        <v>-0.10005728067785218</v>
      </c>
      <c r="G5" s="15">
        <v>746748.8</v>
      </c>
      <c r="H5" s="41">
        <v>0.12872387608791591</v>
      </c>
      <c r="I5" s="17">
        <v>842873.2</v>
      </c>
    </row>
    <row r="6" spans="1:9">
      <c r="A6" s="13" t="s">
        <v>248</v>
      </c>
      <c r="B6" s="14" t="s">
        <v>536</v>
      </c>
      <c r="C6" s="15">
        <v>48515.7</v>
      </c>
      <c r="D6" s="16">
        <v>-2.9977924671807151E-2</v>
      </c>
      <c r="E6" s="15">
        <v>47061.3</v>
      </c>
      <c r="F6" s="16">
        <v>-5.9467120542781554E-2</v>
      </c>
      <c r="G6" s="15">
        <v>44262.7</v>
      </c>
      <c r="H6" s="41">
        <v>0.17047536639201868</v>
      </c>
      <c r="I6" s="17">
        <v>51808.4</v>
      </c>
    </row>
    <row r="7" spans="1:9">
      <c r="A7" s="13" t="s">
        <v>537</v>
      </c>
      <c r="B7" s="14" t="s">
        <v>538</v>
      </c>
      <c r="C7" s="15">
        <v>107407.3</v>
      </c>
      <c r="D7" s="16">
        <v>5.9613266509818179E-2</v>
      </c>
      <c r="E7" s="15">
        <v>113810.2</v>
      </c>
      <c r="F7" s="16">
        <v>-9.7107289153344808E-2</v>
      </c>
      <c r="G7" s="15">
        <v>102758.39999999999</v>
      </c>
      <c r="H7" s="41">
        <v>0.33901851332835081</v>
      </c>
      <c r="I7" s="17">
        <v>137595.4</v>
      </c>
    </row>
    <row r="8" spans="1:9">
      <c r="A8" s="13" t="s">
        <v>539</v>
      </c>
      <c r="B8" s="14" t="s">
        <v>540</v>
      </c>
      <c r="C8" s="15">
        <v>107427.3</v>
      </c>
      <c r="D8" s="16">
        <v>-4.4720476080102517E-2</v>
      </c>
      <c r="E8" s="15">
        <v>102623.1</v>
      </c>
      <c r="F8" s="16">
        <v>9.2430456690550167E-2</v>
      </c>
      <c r="G8" s="15">
        <v>112108.6</v>
      </c>
      <c r="H8" s="41">
        <v>-8.9716578389169063E-2</v>
      </c>
      <c r="I8" s="17">
        <v>102050.6</v>
      </c>
    </row>
    <row r="9" spans="1:9">
      <c r="A9" s="13" t="s">
        <v>541</v>
      </c>
      <c r="B9" s="14" t="s">
        <v>542</v>
      </c>
      <c r="C9" s="15">
        <v>574491.4</v>
      </c>
      <c r="D9" s="16">
        <v>0.14338648063313034</v>
      </c>
      <c r="E9" s="15">
        <v>656865.69999999995</v>
      </c>
      <c r="F9" s="16">
        <v>-0.28826836292411068</v>
      </c>
      <c r="G9" s="15">
        <v>467512.1</v>
      </c>
      <c r="H9" s="41">
        <v>4.0305480863490055E-2</v>
      </c>
      <c r="I9" s="17">
        <v>486355.4</v>
      </c>
    </row>
    <row r="10" spans="1:9">
      <c r="A10" s="13" t="s">
        <v>543</v>
      </c>
      <c r="B10" s="14" t="s">
        <v>544</v>
      </c>
      <c r="C10" s="15">
        <v>5353787.2</v>
      </c>
      <c r="D10" s="16">
        <v>2.203318802062211E-2</v>
      </c>
      <c r="E10" s="15">
        <v>5471748.2000000002</v>
      </c>
      <c r="F10" s="16">
        <v>2.000305862027792E-2</v>
      </c>
      <c r="G10" s="15">
        <v>5581199.9000000004</v>
      </c>
      <c r="H10" s="41">
        <v>2.7284992963609849E-2</v>
      </c>
      <c r="I10" s="17">
        <v>5733482.9000000004</v>
      </c>
    </row>
    <row r="11" spans="1:9">
      <c r="A11" s="13" t="s">
        <v>545</v>
      </c>
      <c r="B11" s="14" t="s">
        <v>546</v>
      </c>
      <c r="C11" s="15">
        <v>427850.9</v>
      </c>
      <c r="D11" s="41">
        <v>1.2768466771952292E-3</v>
      </c>
      <c r="E11" s="15">
        <v>428397.2</v>
      </c>
      <c r="F11" s="16">
        <v>-3.0252065139548118E-2</v>
      </c>
      <c r="G11" s="15">
        <v>415437.3</v>
      </c>
      <c r="H11" s="41">
        <v>3.3004739824758211E-2</v>
      </c>
      <c r="I11" s="17">
        <v>429148.7</v>
      </c>
    </row>
    <row r="12" spans="1:9">
      <c r="A12" s="13" t="s">
        <v>547</v>
      </c>
      <c r="B12" s="14" t="s">
        <v>548</v>
      </c>
      <c r="C12" s="15">
        <v>768550.6</v>
      </c>
      <c r="D12" s="41">
        <v>0.2748874309642072</v>
      </c>
      <c r="E12" s="15">
        <v>979815.5</v>
      </c>
      <c r="F12" s="16">
        <v>2.9157836347761437E-2</v>
      </c>
      <c r="G12" s="15">
        <v>1008384.8</v>
      </c>
      <c r="H12" s="41">
        <v>3.2884966135943293E-2</v>
      </c>
      <c r="I12" s="17">
        <v>1041545.5</v>
      </c>
    </row>
    <row r="13" spans="1:9">
      <c r="A13" s="13" t="s">
        <v>549</v>
      </c>
      <c r="B13" s="14" t="s">
        <v>550</v>
      </c>
      <c r="C13" s="15">
        <v>1285681.8</v>
      </c>
      <c r="D13" s="41">
        <v>-4.5419869830933282E-2</v>
      </c>
      <c r="E13" s="15">
        <v>1227286.3</v>
      </c>
      <c r="F13" s="41">
        <v>0.12288697429442502</v>
      </c>
      <c r="G13" s="15">
        <v>1378103.8</v>
      </c>
      <c r="H13" s="41">
        <v>7.0688652044933076E-2</v>
      </c>
      <c r="I13" s="17">
        <v>1475520.1</v>
      </c>
    </row>
    <row r="14" spans="1:9">
      <c r="A14" s="13" t="s">
        <v>551</v>
      </c>
      <c r="B14" s="14" t="s">
        <v>552</v>
      </c>
      <c r="C14" s="15">
        <v>55505.7</v>
      </c>
      <c r="D14" s="41">
        <v>-0.92334120639862216</v>
      </c>
      <c r="E14" s="15">
        <v>4255</v>
      </c>
      <c r="F14" s="16">
        <v>-0.13830787309048179</v>
      </c>
      <c r="G14" s="15">
        <v>3666.5</v>
      </c>
      <c r="H14" s="41">
        <v>-2.2228283103777443E-2</v>
      </c>
      <c r="I14" s="17">
        <v>3585</v>
      </c>
    </row>
    <row r="15" spans="1:9">
      <c r="A15" s="13" t="s">
        <v>553</v>
      </c>
      <c r="B15" s="14" t="s">
        <v>554</v>
      </c>
      <c r="C15" s="15">
        <v>0</v>
      </c>
      <c r="D15" s="41" t="s">
        <v>555</v>
      </c>
      <c r="E15" s="15">
        <v>0</v>
      </c>
      <c r="F15" s="16" t="s">
        <v>555</v>
      </c>
      <c r="G15" s="15">
        <v>0</v>
      </c>
      <c r="H15" s="41" t="s">
        <v>555</v>
      </c>
      <c r="I15" s="17">
        <v>0</v>
      </c>
    </row>
    <row r="16" spans="1:9">
      <c r="A16" s="13" t="s">
        <v>556</v>
      </c>
      <c r="B16" s="14" t="s">
        <v>557</v>
      </c>
      <c r="C16" s="15">
        <v>5142.3999999999996</v>
      </c>
      <c r="D16" s="41">
        <v>-5.6860609831985001E-2</v>
      </c>
      <c r="E16" s="15">
        <v>4850</v>
      </c>
      <c r="F16" s="41">
        <v>0.81678350515463916</v>
      </c>
      <c r="G16" s="15">
        <v>8811.4</v>
      </c>
      <c r="H16" s="41">
        <v>-0.44957668474930201</v>
      </c>
      <c r="I16" s="17">
        <v>4850</v>
      </c>
    </row>
    <row r="17" spans="1:9">
      <c r="A17" s="13" t="s">
        <v>558</v>
      </c>
      <c r="B17" s="14" t="s">
        <v>559</v>
      </c>
      <c r="C17" s="15">
        <v>27216.9</v>
      </c>
      <c r="D17" s="16">
        <v>-0.66381549698900311</v>
      </c>
      <c r="E17" s="15">
        <v>9149.9</v>
      </c>
      <c r="F17" s="16">
        <v>0.83934250647548059</v>
      </c>
      <c r="G17" s="15">
        <v>16829.8</v>
      </c>
      <c r="H17" s="41">
        <v>-0.70696621469060827</v>
      </c>
      <c r="I17" s="17">
        <v>4931.7</v>
      </c>
    </row>
    <row r="18" spans="1:9">
      <c r="A18" s="13">
        <v>389</v>
      </c>
      <c r="B18" s="14" t="s">
        <v>182</v>
      </c>
      <c r="C18" s="15">
        <v>0</v>
      </c>
      <c r="D18" s="41" t="s">
        <v>555</v>
      </c>
      <c r="E18" s="15">
        <v>0</v>
      </c>
      <c r="F18" s="41" t="s">
        <v>555</v>
      </c>
      <c r="G18" s="15">
        <v>0</v>
      </c>
      <c r="H18" s="41" t="s">
        <v>555</v>
      </c>
      <c r="I18" s="17">
        <v>0</v>
      </c>
    </row>
    <row r="19" spans="1:9">
      <c r="A19" s="18" t="s">
        <v>560</v>
      </c>
      <c r="B19" s="19" t="s">
        <v>561</v>
      </c>
      <c r="C19" s="20">
        <v>106503.5</v>
      </c>
      <c r="D19" s="41">
        <v>0.42121620416230454</v>
      </c>
      <c r="E19" s="20">
        <v>151364.5</v>
      </c>
      <c r="F19" s="41">
        <v>-0.60637666031334958</v>
      </c>
      <c r="G19" s="20">
        <v>59580.6</v>
      </c>
      <c r="H19" s="41">
        <v>0.82003705904270852</v>
      </c>
      <c r="I19" s="21">
        <v>108438.9</v>
      </c>
    </row>
    <row r="20" spans="1:9">
      <c r="A20" s="22" t="s">
        <v>562</v>
      </c>
      <c r="B20" s="23" t="s">
        <v>563</v>
      </c>
      <c r="C20" s="24">
        <v>10245828.100000001</v>
      </c>
      <c r="D20" s="25">
        <v>1.1610003490103412E-2</v>
      </c>
      <c r="E20" s="24">
        <v>10364782.200000001</v>
      </c>
      <c r="F20" s="25">
        <v>-2.8919430646598774E-2</v>
      </c>
      <c r="G20" s="24">
        <v>10065038.6</v>
      </c>
      <c r="H20" s="242">
        <v>3.9799906977008664E-2</v>
      </c>
      <c r="I20" s="26">
        <v>10465626.200000001</v>
      </c>
    </row>
    <row r="21" spans="1:9">
      <c r="A21" s="27" t="s">
        <v>564</v>
      </c>
      <c r="B21" s="28" t="s">
        <v>565</v>
      </c>
      <c r="C21" s="10">
        <v>4602404.7</v>
      </c>
      <c r="D21" s="16">
        <v>-2.0466409657542758E-2</v>
      </c>
      <c r="E21" s="10">
        <v>4508210</v>
      </c>
      <c r="F21" s="16">
        <v>5.3130887869021225E-2</v>
      </c>
      <c r="G21" s="10">
        <v>4747735.2</v>
      </c>
      <c r="H21" s="41">
        <v>-1.0665127237930241E-2</v>
      </c>
      <c r="I21" s="12">
        <v>4697100</v>
      </c>
    </row>
    <row r="22" spans="1:9">
      <c r="A22" s="8" t="s">
        <v>566</v>
      </c>
      <c r="B22" s="29" t="s">
        <v>567</v>
      </c>
      <c r="C22" s="15">
        <v>303364.09999999998</v>
      </c>
      <c r="D22" s="16">
        <v>1.1639149128061044E-2</v>
      </c>
      <c r="E22" s="15">
        <v>306895</v>
      </c>
      <c r="F22" s="16">
        <v>6.6736180126753447E-2</v>
      </c>
      <c r="G22" s="15">
        <v>327376</v>
      </c>
      <c r="H22" s="41">
        <v>-4.4141904110258541E-2</v>
      </c>
      <c r="I22" s="17">
        <v>312925</v>
      </c>
    </row>
    <row r="23" spans="1:9">
      <c r="A23" s="8" t="s">
        <v>568</v>
      </c>
      <c r="B23" s="29" t="s">
        <v>569</v>
      </c>
      <c r="C23" s="15">
        <v>261060.5</v>
      </c>
      <c r="D23" s="16">
        <v>-0.10227744143598899</v>
      </c>
      <c r="E23" s="15">
        <v>234359.9</v>
      </c>
      <c r="F23" s="16">
        <v>-0.40082582387174598</v>
      </c>
      <c r="G23" s="15">
        <v>140422.39999999999</v>
      </c>
      <c r="H23" s="41">
        <v>0.14593469417984595</v>
      </c>
      <c r="I23" s="17">
        <v>160914.9</v>
      </c>
    </row>
    <row r="24" spans="1:9">
      <c r="A24" s="8" t="s">
        <v>570</v>
      </c>
      <c r="B24" s="29" t="s">
        <v>571</v>
      </c>
      <c r="C24" s="15">
        <v>887554.5</v>
      </c>
      <c r="D24" s="16">
        <v>-0.10141134995090439</v>
      </c>
      <c r="E24" s="15">
        <v>797546.4</v>
      </c>
      <c r="F24" s="16">
        <v>0.11294314663071643</v>
      </c>
      <c r="G24" s="15">
        <v>887623.8</v>
      </c>
      <c r="H24" s="41">
        <v>-6.5475936990423186E-2</v>
      </c>
      <c r="I24" s="17">
        <v>829505.8</v>
      </c>
    </row>
    <row r="25" spans="1:9">
      <c r="A25" s="8" t="s">
        <v>572</v>
      </c>
      <c r="B25" s="29" t="s">
        <v>573</v>
      </c>
      <c r="C25" s="15">
        <v>4023731.7</v>
      </c>
      <c r="D25" s="16">
        <v>2.5178890530896884E-2</v>
      </c>
      <c r="E25" s="15">
        <v>4125044.8</v>
      </c>
      <c r="F25" s="16">
        <v>-2.9595896752442521E-2</v>
      </c>
      <c r="G25" s="15">
        <v>4002960.4</v>
      </c>
      <c r="H25" s="41">
        <v>7.8481490848623006E-2</v>
      </c>
      <c r="I25" s="17">
        <v>4317118.7</v>
      </c>
    </row>
    <row r="26" spans="1:9">
      <c r="A26" s="56" t="s">
        <v>574</v>
      </c>
      <c r="B26" s="29" t="s">
        <v>575</v>
      </c>
      <c r="C26" s="15">
        <v>218172.3</v>
      </c>
      <c r="D26" s="16">
        <v>0.15232777029897934</v>
      </c>
      <c r="E26" s="15">
        <v>251406</v>
      </c>
      <c r="F26" s="16">
        <v>-0.55843575730093953</v>
      </c>
      <c r="G26" s="15">
        <v>111011.9</v>
      </c>
      <c r="H26" s="41">
        <v>0.51760036536623566</v>
      </c>
      <c r="I26" s="17">
        <v>168471.7</v>
      </c>
    </row>
    <row r="27" spans="1:9">
      <c r="A27" s="150">
        <v>489</v>
      </c>
      <c r="B27" s="29" t="s">
        <v>170</v>
      </c>
      <c r="C27" s="15">
        <v>0</v>
      </c>
      <c r="D27" s="16" t="s">
        <v>555</v>
      </c>
      <c r="E27" s="15">
        <v>0</v>
      </c>
      <c r="F27" s="16">
        <v>0</v>
      </c>
      <c r="G27" s="15">
        <v>0</v>
      </c>
      <c r="H27" s="41" t="s">
        <v>555</v>
      </c>
      <c r="I27" s="17">
        <v>0</v>
      </c>
    </row>
    <row r="28" spans="1:9">
      <c r="A28" s="30" t="s">
        <v>576</v>
      </c>
      <c r="B28" s="31" t="s">
        <v>577</v>
      </c>
      <c r="C28" s="20">
        <v>106503.5</v>
      </c>
      <c r="D28" s="16">
        <v>0.42756059660011186</v>
      </c>
      <c r="E28" s="20">
        <v>152040.20000000001</v>
      </c>
      <c r="F28" s="16">
        <v>-0.60812600877925704</v>
      </c>
      <c r="G28" s="20">
        <v>59580.6</v>
      </c>
      <c r="H28" s="41">
        <v>0.74403077511807525</v>
      </c>
      <c r="I28" s="21">
        <v>103910.39999999999</v>
      </c>
    </row>
    <row r="29" spans="1:9">
      <c r="A29" s="48" t="s">
        <v>578</v>
      </c>
      <c r="B29" s="49" t="s">
        <v>579</v>
      </c>
      <c r="C29" s="24">
        <v>10402791.300000001</v>
      </c>
      <c r="D29" s="50">
        <v>-2.6232382456812336E-3</v>
      </c>
      <c r="E29" s="24">
        <v>10375502.300000001</v>
      </c>
      <c r="F29" s="50">
        <v>-9.521659495945559E-3</v>
      </c>
      <c r="G29" s="24">
        <v>10276710.300000001</v>
      </c>
      <c r="H29" s="243">
        <v>3.0480201431775229E-2</v>
      </c>
      <c r="I29" s="26">
        <v>10589946.5</v>
      </c>
    </row>
    <row r="30" spans="1:9">
      <c r="A30" s="47" t="s">
        <v>580</v>
      </c>
      <c r="B30" s="32" t="s">
        <v>581</v>
      </c>
      <c r="C30" s="33">
        <v>156963.19999999925</v>
      </c>
      <c r="D30" s="117">
        <v>0</v>
      </c>
      <c r="E30" s="33">
        <v>10720.099999999627</v>
      </c>
      <c r="F30" s="117">
        <v>0</v>
      </c>
      <c r="G30" s="34">
        <v>211671.70000000112</v>
      </c>
      <c r="H30" s="244">
        <v>0</v>
      </c>
      <c r="I30" s="35">
        <v>124320.29999999888</v>
      </c>
    </row>
    <row r="31" spans="1:9">
      <c r="A31" s="120">
        <v>0</v>
      </c>
      <c r="B31" s="28" t="s">
        <v>582</v>
      </c>
      <c r="C31" s="118">
        <v>0</v>
      </c>
      <c r="D31" s="123">
        <v>0</v>
      </c>
      <c r="E31" s="118">
        <v>0</v>
      </c>
      <c r="F31" s="123">
        <v>0</v>
      </c>
      <c r="G31" s="118">
        <v>0</v>
      </c>
      <c r="H31" s="245">
        <v>0</v>
      </c>
      <c r="I31" s="119">
        <v>0</v>
      </c>
    </row>
    <row r="32" spans="1:9">
      <c r="A32" s="56" t="s">
        <v>583</v>
      </c>
      <c r="B32" s="29" t="s">
        <v>584</v>
      </c>
      <c r="C32" s="15">
        <v>653561.30000000005</v>
      </c>
      <c r="D32" s="16">
        <v>-5.8886136617942446E-2</v>
      </c>
      <c r="E32" s="15">
        <v>615075.6</v>
      </c>
      <c r="F32" s="16">
        <v>-1.6168418971586468E-2</v>
      </c>
      <c r="G32" s="15">
        <v>605130.80000000005</v>
      </c>
      <c r="H32" s="41">
        <v>6.1062005106995047E-2</v>
      </c>
      <c r="I32" s="17">
        <v>642081.30000000005</v>
      </c>
    </row>
    <row r="33" spans="1:9">
      <c r="A33" s="56" t="s">
        <v>585</v>
      </c>
      <c r="B33" s="29" t="s">
        <v>586</v>
      </c>
      <c r="C33" s="15">
        <v>29327.1</v>
      </c>
      <c r="D33" s="16">
        <v>-0.43577101043062555</v>
      </c>
      <c r="E33" s="15">
        <v>16547.2</v>
      </c>
      <c r="F33" s="16">
        <v>-0.32982015084122995</v>
      </c>
      <c r="G33" s="15">
        <v>11089.6</v>
      </c>
      <c r="H33" s="41">
        <v>0.23168554321165769</v>
      </c>
      <c r="I33" s="17">
        <v>13658.9</v>
      </c>
    </row>
    <row r="34" spans="1:9">
      <c r="A34" s="8" t="s">
        <v>587</v>
      </c>
      <c r="B34" s="29" t="s">
        <v>588</v>
      </c>
      <c r="C34" s="15">
        <v>349248.8</v>
      </c>
      <c r="D34" s="16">
        <v>8.653773470374132E-2</v>
      </c>
      <c r="E34" s="15">
        <v>379472</v>
      </c>
      <c r="F34" s="16">
        <v>-0.14719004300712568</v>
      </c>
      <c r="G34" s="15">
        <v>323617.5</v>
      </c>
      <c r="H34" s="41">
        <v>0.19179772416510224</v>
      </c>
      <c r="I34" s="17">
        <v>385686.6</v>
      </c>
    </row>
    <row r="35" spans="1:9">
      <c r="A35" s="48" t="s">
        <v>589</v>
      </c>
      <c r="B35" s="49" t="s">
        <v>590</v>
      </c>
      <c r="C35" s="24">
        <v>1032137.2</v>
      </c>
      <c r="D35" s="51">
        <v>-2.0387212087695342E-2</v>
      </c>
      <c r="E35" s="24">
        <v>1011094.7999999999</v>
      </c>
      <c r="F35" s="51">
        <v>-7.0474994036167443E-2</v>
      </c>
      <c r="G35" s="24">
        <v>939837.9</v>
      </c>
      <c r="H35" s="243">
        <v>0.10809193798207119</v>
      </c>
      <c r="I35" s="26">
        <v>1041426.8</v>
      </c>
    </row>
    <row r="36" spans="1:9">
      <c r="A36" s="8" t="s">
        <v>591</v>
      </c>
      <c r="B36" s="29" t="s">
        <v>592</v>
      </c>
      <c r="C36" s="15">
        <v>10788</v>
      </c>
      <c r="D36" s="16">
        <v>-0.99073044123099741</v>
      </c>
      <c r="E36" s="15">
        <v>100</v>
      </c>
      <c r="F36" s="16">
        <v>21.519000000000002</v>
      </c>
      <c r="G36" s="15">
        <v>2251.9</v>
      </c>
      <c r="H36" s="41">
        <v>-0.86207202806518946</v>
      </c>
      <c r="I36" s="17">
        <v>310.60000000000002</v>
      </c>
    </row>
    <row r="37" spans="1:9">
      <c r="A37" s="8" t="s">
        <v>593</v>
      </c>
      <c r="B37" s="29" t="s">
        <v>594</v>
      </c>
      <c r="C37" s="15">
        <v>470096.3</v>
      </c>
      <c r="D37" s="16">
        <v>-0.14730471182181176</v>
      </c>
      <c r="E37" s="15">
        <v>400848.9</v>
      </c>
      <c r="F37" s="16">
        <v>3.4960554962231313E-2</v>
      </c>
      <c r="G37" s="15">
        <v>414862.8</v>
      </c>
      <c r="H37" s="41">
        <v>5.4433417505739302E-2</v>
      </c>
      <c r="I37" s="17">
        <v>437445.2</v>
      </c>
    </row>
    <row r="38" spans="1:9">
      <c r="A38" s="48" t="s">
        <v>595</v>
      </c>
      <c r="B38" s="49" t="s">
        <v>596</v>
      </c>
      <c r="C38" s="24">
        <v>480884.3</v>
      </c>
      <c r="D38" s="51">
        <v>-0.16622584684091363</v>
      </c>
      <c r="E38" s="24">
        <v>400948.9</v>
      </c>
      <c r="F38" s="51">
        <v>4.031885359954844E-2</v>
      </c>
      <c r="G38" s="24">
        <v>417114.7</v>
      </c>
      <c r="H38" s="243">
        <v>4.9485429307574096E-2</v>
      </c>
      <c r="I38" s="26">
        <v>437755.8</v>
      </c>
    </row>
    <row r="39" spans="1:9">
      <c r="A39" s="36" t="s">
        <v>597</v>
      </c>
      <c r="B39" s="37" t="s">
        <v>3</v>
      </c>
      <c r="C39" s="38">
        <v>551252.89999999991</v>
      </c>
      <c r="D39" s="39">
        <v>0.10683481211618118</v>
      </c>
      <c r="E39" s="38">
        <v>610145.89999999991</v>
      </c>
      <c r="F39" s="39">
        <v>-0.14328163149174633</v>
      </c>
      <c r="G39" s="38">
        <v>522723.2</v>
      </c>
      <c r="H39" s="246">
        <v>0.15485786741434088</v>
      </c>
      <c r="I39" s="40">
        <v>603671</v>
      </c>
    </row>
    <row r="40" spans="1:9">
      <c r="A40" s="112" t="s">
        <v>0</v>
      </c>
      <c r="B40" s="29" t="s">
        <v>85</v>
      </c>
      <c r="C40" s="15">
        <v>731454.59999999928</v>
      </c>
      <c r="D40" s="16">
        <v>-8.7317517724271279E-2</v>
      </c>
      <c r="E40" s="15">
        <v>667585.79999999958</v>
      </c>
      <c r="F40" s="16">
        <v>1.7373047779029333E-2</v>
      </c>
      <c r="G40" s="15">
        <v>679183.80000000109</v>
      </c>
      <c r="H40" s="41">
        <v>-0.1008682774824754</v>
      </c>
      <c r="I40" s="17">
        <v>610675.69999999891</v>
      </c>
    </row>
    <row r="41" spans="1:9">
      <c r="A41" s="112" t="s">
        <v>0</v>
      </c>
      <c r="B41" s="29" t="s">
        <v>598</v>
      </c>
      <c r="C41" s="15">
        <v>180201.69999999937</v>
      </c>
      <c r="D41" s="16">
        <v>-0.68124662530930691</v>
      </c>
      <c r="E41" s="15">
        <v>57439.899999999674</v>
      </c>
      <c r="F41" s="16">
        <v>1.7239009817217992</v>
      </c>
      <c r="G41" s="15">
        <v>156460.60000000108</v>
      </c>
      <c r="H41" s="41">
        <v>-0.95523026244307607</v>
      </c>
      <c r="I41" s="17">
        <v>7004.6999999989057</v>
      </c>
    </row>
    <row r="42" spans="1:9">
      <c r="A42" s="121" t="s">
        <v>0</v>
      </c>
      <c r="B42" s="31" t="s">
        <v>599</v>
      </c>
      <c r="C42" s="20">
        <v>10462326.199999999</v>
      </c>
      <c r="D42" s="111">
        <v>-6.1672709076846096E-4</v>
      </c>
      <c r="E42" s="20">
        <v>10455873.800000003</v>
      </c>
      <c r="F42" s="111">
        <v>-1.0236198527951075E-2</v>
      </c>
      <c r="G42" s="20">
        <v>10348845.4</v>
      </c>
      <c r="H42" s="247">
        <v>4.4104533632322099E-2</v>
      </c>
      <c r="I42" s="21">
        <v>10805276.400000002</v>
      </c>
    </row>
    <row r="43" spans="1:9">
      <c r="A43" s="121">
        <v>0</v>
      </c>
      <c r="B43" s="31" t="s">
        <v>5</v>
      </c>
      <c r="C43" s="60">
        <v>1.3268947882178932</v>
      </c>
      <c r="D43" s="122">
        <v>0</v>
      </c>
      <c r="E43" s="60">
        <v>1.0941412537558635</v>
      </c>
      <c r="F43" s="167">
        <v>0</v>
      </c>
      <c r="G43" s="60">
        <v>1.2993182625144648</v>
      </c>
      <c r="H43" s="167">
        <v>0</v>
      </c>
      <c r="I43" s="168">
        <v>1.0116035058831696</v>
      </c>
    </row>
  </sheetData>
  <phoneticPr fontId="7" type="noConversion"/>
  <pageMargins left="0.23622047244094491" right="0.23622047244094491" top="0.74803149606299213" bottom="0.74803149606299213" header="0.31496062992125984" footer="0.31496062992125984"/>
  <pageSetup paperSize="9" orientation="landscape" r:id="rId1"/>
  <headerFooter alignWithMargins="0">
    <oddHeader>&amp;LFachgruppe für kantonale Finanzfragen (FkF)
Groupe d'études pour les finances cantonales
&amp;CKanton VD&amp;RZürich, 11.05.2015</oddHeader>
    <oddFooter>&amp;L&amp;F / &amp;A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47">
    <tabColor rgb="FF00B050"/>
  </sheetPr>
  <dimension ref="A1:AN186"/>
  <sheetViews>
    <sheetView zoomScale="115" zoomScaleNormal="115" workbookViewId="0">
      <selection activeCell="G10" sqref="G10"/>
    </sheetView>
  </sheetViews>
  <sheetFormatPr baseColWidth="10" defaultColWidth="11.42578125" defaultRowHeight="12.75"/>
  <cols>
    <col min="1" max="1" width="14.7109375" style="470" customWidth="1"/>
    <col min="2" max="2" width="3.7109375" style="470" customWidth="1"/>
    <col min="3" max="3" width="44.7109375" style="470" customWidth="1"/>
    <col min="4" max="16384" width="11.42578125" style="470"/>
  </cols>
  <sheetData>
    <row r="1" spans="1:40" s="642" customFormat="1" ht="18" customHeight="1">
      <c r="A1" s="647" t="s">
        <v>258</v>
      </c>
      <c r="B1" s="671" t="s">
        <v>498</v>
      </c>
      <c r="C1" s="671" t="s">
        <v>497</v>
      </c>
      <c r="D1" s="643" t="s">
        <v>255</v>
      </c>
      <c r="E1" s="644" t="s">
        <v>254</v>
      </c>
      <c r="F1" s="643" t="s">
        <v>255</v>
      </c>
      <c r="G1" s="644" t="s">
        <v>254</v>
      </c>
      <c r="H1" s="608"/>
      <c r="I1" s="608"/>
      <c r="J1" s="608"/>
      <c r="K1" s="608"/>
      <c r="L1" s="608"/>
      <c r="M1" s="608"/>
      <c r="N1" s="608"/>
      <c r="O1" s="608"/>
      <c r="P1" s="608"/>
      <c r="Q1" s="608"/>
      <c r="R1" s="608"/>
      <c r="S1" s="608"/>
      <c r="T1" s="608"/>
      <c r="U1" s="608"/>
      <c r="V1" s="608"/>
      <c r="W1" s="608"/>
      <c r="X1" s="608"/>
      <c r="Y1" s="608"/>
      <c r="Z1" s="608"/>
      <c r="AA1" s="608"/>
      <c r="AB1" s="608"/>
      <c r="AC1" s="608"/>
      <c r="AD1" s="608"/>
      <c r="AE1" s="608"/>
      <c r="AF1" s="608"/>
      <c r="AG1" s="608"/>
      <c r="AH1" s="608"/>
      <c r="AI1" s="608"/>
      <c r="AJ1" s="608"/>
      <c r="AK1" s="608"/>
      <c r="AL1" s="608"/>
      <c r="AM1" s="608"/>
      <c r="AN1" s="608"/>
    </row>
    <row r="2" spans="1:40" s="636" customFormat="1" ht="15" customHeight="1">
      <c r="A2" s="641"/>
      <c r="B2" s="640"/>
      <c r="C2" s="639" t="s">
        <v>253</v>
      </c>
      <c r="D2" s="637">
        <v>2013</v>
      </c>
      <c r="E2" s="638">
        <v>2014</v>
      </c>
      <c r="F2" s="637">
        <v>2014</v>
      </c>
      <c r="G2" s="638">
        <v>2015</v>
      </c>
    </row>
    <row r="3" spans="1:40" ht="15" customHeight="1">
      <c r="A3" s="949" t="s">
        <v>252</v>
      </c>
      <c r="B3" s="950"/>
      <c r="C3" s="950"/>
      <c r="D3" s="512"/>
      <c r="E3" s="635" t="s">
        <v>251</v>
      </c>
      <c r="F3" s="512"/>
      <c r="G3" s="635"/>
    </row>
    <row r="4" spans="1:40" s="480" customFormat="1" ht="12.75" customHeight="1">
      <c r="A4" s="670">
        <v>30</v>
      </c>
      <c r="B4" s="669"/>
      <c r="C4" s="632" t="s">
        <v>250</v>
      </c>
      <c r="D4" s="411">
        <v>349404</v>
      </c>
      <c r="E4" s="453">
        <v>360182</v>
      </c>
      <c r="F4" s="411">
        <v>355895</v>
      </c>
      <c r="G4" s="453">
        <v>364910</v>
      </c>
    </row>
    <row r="5" spans="1:40" s="480" customFormat="1" ht="12.75" customHeight="1">
      <c r="A5" s="591">
        <v>31</v>
      </c>
      <c r="B5" s="587"/>
      <c r="C5" s="585" t="s">
        <v>249</v>
      </c>
      <c r="D5" s="317">
        <v>297473</v>
      </c>
      <c r="E5" s="361">
        <v>307956</v>
      </c>
      <c r="F5" s="317">
        <v>295132</v>
      </c>
      <c r="G5" s="361">
        <v>307620</v>
      </c>
    </row>
    <row r="6" spans="1:40" s="480" customFormat="1" ht="12.75" customHeight="1">
      <c r="A6" s="630" t="s">
        <v>248</v>
      </c>
      <c r="B6" s="586"/>
      <c r="C6" s="616" t="s">
        <v>247</v>
      </c>
      <c r="D6" s="322">
        <v>125638</v>
      </c>
      <c r="E6" s="321">
        <v>117956</v>
      </c>
      <c r="F6" s="322">
        <v>117146</v>
      </c>
      <c r="G6" s="361">
        <v>116111</v>
      </c>
    </row>
    <row r="7" spans="1:40" s="480" customFormat="1" ht="12.75" customHeight="1">
      <c r="A7" s="630" t="s">
        <v>246</v>
      </c>
      <c r="B7" s="586"/>
      <c r="C7" s="616" t="s">
        <v>245</v>
      </c>
      <c r="D7" s="322">
        <v>347</v>
      </c>
      <c r="E7" s="321">
        <v>0</v>
      </c>
      <c r="F7" s="322">
        <v>123</v>
      </c>
      <c r="G7" s="361">
        <v>0</v>
      </c>
    </row>
    <row r="8" spans="1:40" s="480" customFormat="1" ht="12.75" customHeight="1">
      <c r="A8" s="593">
        <v>330</v>
      </c>
      <c r="B8" s="587"/>
      <c r="C8" s="585" t="s">
        <v>244</v>
      </c>
      <c r="D8" s="317">
        <v>69700</v>
      </c>
      <c r="E8" s="316">
        <v>77981</v>
      </c>
      <c r="F8" s="317">
        <v>59883</v>
      </c>
      <c r="G8" s="361">
        <v>80378</v>
      </c>
    </row>
    <row r="9" spans="1:40" s="480" customFormat="1" ht="12.75" customHeight="1">
      <c r="A9" s="593">
        <v>332</v>
      </c>
      <c r="B9" s="587"/>
      <c r="C9" s="585" t="s">
        <v>243</v>
      </c>
      <c r="D9" s="317">
        <v>4102</v>
      </c>
      <c r="E9" s="316">
        <v>5707</v>
      </c>
      <c r="F9" s="317">
        <v>4504</v>
      </c>
      <c r="G9" s="361">
        <v>5717</v>
      </c>
    </row>
    <row r="10" spans="1:40" s="480" customFormat="1" ht="12.75" customHeight="1">
      <c r="A10" s="593">
        <v>339</v>
      </c>
      <c r="B10" s="587"/>
      <c r="C10" s="585" t="s">
        <v>242</v>
      </c>
      <c r="D10" s="317">
        <v>0</v>
      </c>
      <c r="E10" s="316">
        <v>0</v>
      </c>
      <c r="F10" s="317">
        <v>0</v>
      </c>
      <c r="G10" s="361">
        <v>0</v>
      </c>
    </row>
    <row r="11" spans="1:40" s="480" customFormat="1" ht="12.75" customHeight="1">
      <c r="A11" s="591">
        <v>350</v>
      </c>
      <c r="B11" s="587"/>
      <c r="C11" s="585" t="s">
        <v>241</v>
      </c>
      <c r="D11" s="317">
        <v>3380</v>
      </c>
      <c r="E11" s="316">
        <v>287</v>
      </c>
      <c r="F11" s="317">
        <v>738</v>
      </c>
      <c r="G11" s="361">
        <v>283</v>
      </c>
    </row>
    <row r="12" spans="1:40" s="579" customFormat="1">
      <c r="A12" s="597">
        <v>351</v>
      </c>
      <c r="B12" s="596"/>
      <c r="C12" s="589" t="s">
        <v>240</v>
      </c>
      <c r="D12" s="450">
        <v>1712</v>
      </c>
      <c r="E12" s="400">
        <v>3305</v>
      </c>
      <c r="F12" s="450">
        <v>20977</v>
      </c>
      <c r="G12" s="361">
        <v>3534</v>
      </c>
    </row>
    <row r="13" spans="1:40" s="480" customFormat="1" ht="12.75" customHeight="1">
      <c r="A13" s="591">
        <v>36</v>
      </c>
      <c r="B13" s="587"/>
      <c r="C13" s="585" t="s">
        <v>239</v>
      </c>
      <c r="D13" s="316">
        <v>1110513</v>
      </c>
      <c r="E13" s="316">
        <v>1161182</v>
      </c>
      <c r="F13" s="316">
        <v>1128941</v>
      </c>
      <c r="G13" s="361">
        <v>1185060</v>
      </c>
    </row>
    <row r="14" spans="1:40" s="480" customFormat="1" ht="12.75" customHeight="1">
      <c r="A14" s="629" t="s">
        <v>238</v>
      </c>
      <c r="B14" s="587"/>
      <c r="C14" s="627" t="s">
        <v>237</v>
      </c>
      <c r="D14" s="322">
        <v>275274</v>
      </c>
      <c r="E14" s="316">
        <v>269895</v>
      </c>
      <c r="F14" s="322">
        <v>276780</v>
      </c>
      <c r="G14" s="361">
        <v>287594</v>
      </c>
    </row>
    <row r="15" spans="1:40" s="480" customFormat="1" ht="12.75" customHeight="1">
      <c r="A15" s="629" t="s">
        <v>236</v>
      </c>
      <c r="B15" s="587"/>
      <c r="C15" s="627" t="s">
        <v>235</v>
      </c>
      <c r="D15" s="322">
        <v>13442</v>
      </c>
      <c r="E15" s="316">
        <v>15195</v>
      </c>
      <c r="F15" s="322">
        <v>13517</v>
      </c>
      <c r="G15" s="361">
        <v>18468</v>
      </c>
    </row>
    <row r="16" spans="1:40" s="626" customFormat="1" ht="26.25" customHeight="1">
      <c r="A16" s="629" t="s">
        <v>234</v>
      </c>
      <c r="B16" s="668"/>
      <c r="C16" s="627" t="s">
        <v>233</v>
      </c>
      <c r="D16" s="442">
        <v>81828</v>
      </c>
      <c r="E16" s="443">
        <v>94614</v>
      </c>
      <c r="F16" s="442">
        <v>75456</v>
      </c>
      <c r="G16" s="361">
        <v>98578</v>
      </c>
    </row>
    <row r="17" spans="1:7" s="622" customFormat="1">
      <c r="A17" s="591">
        <v>37</v>
      </c>
      <c r="B17" s="587"/>
      <c r="C17" s="585" t="s">
        <v>211</v>
      </c>
      <c r="D17" s="431">
        <v>394104</v>
      </c>
      <c r="E17" s="430">
        <v>390927</v>
      </c>
      <c r="F17" s="431">
        <v>424647</v>
      </c>
      <c r="G17" s="361">
        <v>421975</v>
      </c>
    </row>
    <row r="18" spans="1:7" s="622" customFormat="1">
      <c r="A18" s="617" t="s">
        <v>232</v>
      </c>
      <c r="B18" s="586"/>
      <c r="C18" s="616" t="s">
        <v>231</v>
      </c>
      <c r="D18" s="438">
        <v>174670</v>
      </c>
      <c r="E18" s="430">
        <v>159000</v>
      </c>
      <c r="F18" s="438">
        <v>178911</v>
      </c>
      <c r="G18" s="361">
        <v>171000</v>
      </c>
    </row>
    <row r="19" spans="1:7" s="622" customFormat="1">
      <c r="A19" s="617" t="s">
        <v>230</v>
      </c>
      <c r="B19" s="586"/>
      <c r="C19" s="616" t="s">
        <v>229</v>
      </c>
      <c r="D19" s="438">
        <v>195898</v>
      </c>
      <c r="E19" s="430">
        <v>206810</v>
      </c>
      <c r="F19" s="438">
        <v>220771</v>
      </c>
      <c r="G19" s="361">
        <v>224483</v>
      </c>
    </row>
    <row r="20" spans="1:7" s="480" customFormat="1" ht="12.75" customHeight="1">
      <c r="A20" s="615">
        <v>39</v>
      </c>
      <c r="B20" s="614"/>
      <c r="C20" s="583" t="s">
        <v>228</v>
      </c>
      <c r="D20" s="333">
        <v>152978</v>
      </c>
      <c r="E20" s="372">
        <v>153176</v>
      </c>
      <c r="F20" s="333">
        <v>153458</v>
      </c>
      <c r="G20" s="354">
        <v>153216</v>
      </c>
    </row>
    <row r="21" spans="1:7" ht="12.75" customHeight="1">
      <c r="A21" s="578"/>
      <c r="B21" s="578"/>
      <c r="C21" s="576" t="s">
        <v>227</v>
      </c>
      <c r="D21" s="380">
        <f>D4+D5+SUM(D8:D13)+D17</f>
        <v>2230388</v>
      </c>
      <c r="E21" s="380">
        <f>E4+E5+SUM(E8:E13)+E17</f>
        <v>2307527</v>
      </c>
      <c r="F21" s="380">
        <f>F4+F5+SUM(F8:F13)+F17</f>
        <v>2290717</v>
      </c>
      <c r="G21" s="380">
        <f>G4+G5+SUM(G8:G13)+G17</f>
        <v>2369477</v>
      </c>
    </row>
    <row r="22" spans="1:7" s="480" customFormat="1" ht="12.75" customHeight="1">
      <c r="A22" s="593" t="s">
        <v>226</v>
      </c>
      <c r="B22" s="587"/>
      <c r="C22" s="585" t="s">
        <v>225</v>
      </c>
      <c r="D22" s="317">
        <v>573136</v>
      </c>
      <c r="E22" s="316">
        <v>574150</v>
      </c>
      <c r="F22" s="317">
        <v>625218</v>
      </c>
      <c r="G22" s="316">
        <v>578750</v>
      </c>
    </row>
    <row r="23" spans="1:7" s="480" customFormat="1" ht="12.75" customHeight="1">
      <c r="A23" s="593" t="s">
        <v>224</v>
      </c>
      <c r="B23" s="587"/>
      <c r="C23" s="585" t="s">
        <v>223</v>
      </c>
      <c r="D23" s="317">
        <v>131361</v>
      </c>
      <c r="E23" s="316">
        <v>130350</v>
      </c>
      <c r="F23" s="317">
        <v>136033</v>
      </c>
      <c r="G23" s="316">
        <v>127450</v>
      </c>
    </row>
    <row r="24" spans="1:7" s="621" customFormat="1" ht="12.75" customHeight="1">
      <c r="A24" s="591">
        <v>41</v>
      </c>
      <c r="B24" s="587"/>
      <c r="C24" s="585" t="s">
        <v>222</v>
      </c>
      <c r="D24" s="317">
        <v>84428</v>
      </c>
      <c r="E24" s="316">
        <v>80022</v>
      </c>
      <c r="F24" s="317">
        <v>73693</v>
      </c>
      <c r="G24" s="316">
        <v>68830</v>
      </c>
    </row>
    <row r="25" spans="1:7" s="480" customFormat="1" ht="12.75" customHeight="1">
      <c r="A25" s="620">
        <v>42</v>
      </c>
      <c r="B25" s="619"/>
      <c r="C25" s="585" t="s">
        <v>221</v>
      </c>
      <c r="D25" s="317">
        <v>173139</v>
      </c>
      <c r="E25" s="316">
        <v>154779</v>
      </c>
      <c r="F25" s="317">
        <v>176282</v>
      </c>
      <c r="G25" s="316">
        <v>165221</v>
      </c>
    </row>
    <row r="26" spans="1:7" s="618" customFormat="1" ht="12.75" customHeight="1">
      <c r="A26" s="597">
        <v>430</v>
      </c>
      <c r="B26" s="587"/>
      <c r="C26" s="585" t="s">
        <v>220</v>
      </c>
      <c r="D26" s="431">
        <v>2799</v>
      </c>
      <c r="E26" s="430">
        <v>2360</v>
      </c>
      <c r="F26" s="431">
        <v>3236</v>
      </c>
      <c r="G26" s="430">
        <v>2663</v>
      </c>
    </row>
    <row r="27" spans="1:7" s="618" customFormat="1" ht="12.75" customHeight="1">
      <c r="A27" s="597">
        <v>431</v>
      </c>
      <c r="B27" s="587"/>
      <c r="C27" s="585" t="s">
        <v>219</v>
      </c>
      <c r="D27" s="431">
        <v>1296</v>
      </c>
      <c r="E27" s="430">
        <v>1500</v>
      </c>
      <c r="F27" s="431">
        <v>1350</v>
      </c>
      <c r="G27" s="430">
        <v>1200</v>
      </c>
    </row>
    <row r="28" spans="1:7" s="618" customFormat="1" ht="12.75" customHeight="1">
      <c r="A28" s="597">
        <v>432</v>
      </c>
      <c r="B28" s="587"/>
      <c r="C28" s="585" t="s">
        <v>218</v>
      </c>
      <c r="D28" s="431"/>
      <c r="E28" s="430">
        <v>0</v>
      </c>
      <c r="F28" s="431">
        <v>0</v>
      </c>
      <c r="G28" s="430">
        <v>0</v>
      </c>
    </row>
    <row r="29" spans="1:7" s="618" customFormat="1" ht="12.75" customHeight="1">
      <c r="A29" s="597">
        <v>439</v>
      </c>
      <c r="B29" s="587"/>
      <c r="C29" s="585" t="s">
        <v>217</v>
      </c>
      <c r="D29" s="431">
        <v>1028</v>
      </c>
      <c r="E29" s="430">
        <v>874</v>
      </c>
      <c r="F29" s="431">
        <v>710</v>
      </c>
      <c r="G29" s="430">
        <v>757</v>
      </c>
    </row>
    <row r="30" spans="1:7" s="480" customFormat="1" ht="25.5">
      <c r="A30" s="597">
        <v>450</v>
      </c>
      <c r="B30" s="596"/>
      <c r="C30" s="589" t="s">
        <v>216</v>
      </c>
      <c r="D30" s="362">
        <v>708</v>
      </c>
      <c r="E30" s="361">
        <v>1691</v>
      </c>
      <c r="F30" s="362">
        <v>760</v>
      </c>
      <c r="G30" s="361">
        <v>1596</v>
      </c>
    </row>
    <row r="31" spans="1:7" s="579" customFormat="1" ht="25.5">
      <c r="A31" s="597">
        <v>451</v>
      </c>
      <c r="B31" s="596"/>
      <c r="C31" s="589" t="s">
        <v>215</v>
      </c>
      <c r="D31" s="316">
        <v>21130</v>
      </c>
      <c r="E31" s="316">
        <v>50255</v>
      </c>
      <c r="F31" s="316">
        <v>26196</v>
      </c>
      <c r="G31" s="316">
        <v>44953</v>
      </c>
    </row>
    <row r="32" spans="1:7" s="480" customFormat="1" ht="12.75" customHeight="1">
      <c r="A32" s="591">
        <v>46</v>
      </c>
      <c r="B32" s="587"/>
      <c r="C32" s="585" t="s">
        <v>214</v>
      </c>
      <c r="D32" s="317">
        <v>781173</v>
      </c>
      <c r="E32" s="316">
        <v>764033</v>
      </c>
      <c r="F32" s="317">
        <v>765224</v>
      </c>
      <c r="G32" s="316">
        <v>795217</v>
      </c>
    </row>
    <row r="33" spans="1:7" s="579" customFormat="1" ht="12.75" customHeight="1">
      <c r="A33" s="617" t="s">
        <v>213</v>
      </c>
      <c r="B33" s="586"/>
      <c r="C33" s="616" t="s">
        <v>212</v>
      </c>
      <c r="D33" s="322">
        <v>0</v>
      </c>
      <c r="E33" s="321">
        <v>0</v>
      </c>
      <c r="F33" s="322">
        <v>0</v>
      </c>
      <c r="G33" s="321">
        <v>0</v>
      </c>
    </row>
    <row r="34" spans="1:7" s="480" customFormat="1" ht="15" customHeight="1">
      <c r="A34" s="591">
        <v>47</v>
      </c>
      <c r="B34" s="587"/>
      <c r="C34" s="585" t="s">
        <v>211</v>
      </c>
      <c r="D34" s="317">
        <v>394104</v>
      </c>
      <c r="E34" s="316">
        <v>390927</v>
      </c>
      <c r="F34" s="317">
        <v>424647</v>
      </c>
      <c r="G34" s="316">
        <v>421975</v>
      </c>
    </row>
    <row r="35" spans="1:7" s="480" customFormat="1" ht="15" customHeight="1">
      <c r="A35" s="615">
        <v>49</v>
      </c>
      <c r="B35" s="614"/>
      <c r="C35" s="583" t="s">
        <v>210</v>
      </c>
      <c r="D35" s="333">
        <v>152978</v>
      </c>
      <c r="E35" s="372">
        <v>153176</v>
      </c>
      <c r="F35" s="333">
        <v>153458</v>
      </c>
      <c r="G35" s="372">
        <v>153216</v>
      </c>
    </row>
    <row r="36" spans="1:7" ht="13.5" customHeight="1">
      <c r="A36" s="578"/>
      <c r="B36" s="606"/>
      <c r="C36" s="576" t="s">
        <v>209</v>
      </c>
      <c r="D36" s="380">
        <f>D22+D23+D24+D25+D26+D27+D28+D29+D30+D31+D32+D34</f>
        <v>2164302</v>
      </c>
      <c r="E36" s="380">
        <f>E22+E23+E24+E25+E26+E27+E28+E29+E30+E31+E32+E34</f>
        <v>2150941</v>
      </c>
      <c r="F36" s="380">
        <f>F22+F23+F24+F25+F26+F27+F28+F29+F30+F31+F32+F34</f>
        <v>2233349</v>
      </c>
      <c r="G36" s="380">
        <f>G22+G23+G24+G25+G26+G27+G28+G29+G30+G31+G32+G34</f>
        <v>2208612</v>
      </c>
    </row>
    <row r="37" spans="1:7" s="667" customFormat="1" ht="15" customHeight="1">
      <c r="A37" s="578"/>
      <c r="B37" s="606"/>
      <c r="C37" s="576" t="s">
        <v>208</v>
      </c>
      <c r="D37" s="380">
        <f>D36-D21</f>
        <v>-66086</v>
      </c>
      <c r="E37" s="380">
        <f>E36-E21</f>
        <v>-156586</v>
      </c>
      <c r="F37" s="380">
        <f>F36-F21</f>
        <v>-57368</v>
      </c>
      <c r="G37" s="380">
        <f>G36-G21</f>
        <v>-160865</v>
      </c>
    </row>
    <row r="38" spans="1:7" s="579" customFormat="1" ht="15" customHeight="1">
      <c r="A38" s="593">
        <v>340</v>
      </c>
      <c r="B38" s="587"/>
      <c r="C38" s="585" t="s">
        <v>207</v>
      </c>
      <c r="D38" s="317">
        <v>2402</v>
      </c>
      <c r="E38" s="316">
        <v>1491</v>
      </c>
      <c r="F38" s="317">
        <v>1554</v>
      </c>
      <c r="G38" s="316">
        <v>895</v>
      </c>
    </row>
    <row r="39" spans="1:7" s="579" customFormat="1" ht="15" customHeight="1">
      <c r="A39" s="593">
        <v>341</v>
      </c>
      <c r="B39" s="587"/>
      <c r="C39" s="585" t="s">
        <v>206</v>
      </c>
      <c r="D39" s="317">
        <v>177</v>
      </c>
      <c r="E39" s="316">
        <v>100</v>
      </c>
      <c r="F39" s="317">
        <v>416</v>
      </c>
      <c r="G39" s="316">
        <v>300</v>
      </c>
    </row>
    <row r="40" spans="1:7" s="579" customFormat="1" ht="15" customHeight="1">
      <c r="A40" s="593">
        <v>342</v>
      </c>
      <c r="B40" s="587"/>
      <c r="C40" s="585" t="s">
        <v>205</v>
      </c>
      <c r="D40" s="317">
        <v>219</v>
      </c>
      <c r="E40" s="316">
        <v>365</v>
      </c>
      <c r="F40" s="317">
        <v>203</v>
      </c>
      <c r="G40" s="316">
        <v>160</v>
      </c>
    </row>
    <row r="41" spans="1:7" s="579" customFormat="1" ht="15" customHeight="1">
      <c r="A41" s="593">
        <v>343</v>
      </c>
      <c r="B41" s="587"/>
      <c r="C41" s="585" t="s">
        <v>204</v>
      </c>
      <c r="D41" s="317">
        <v>132</v>
      </c>
      <c r="E41" s="316">
        <v>495</v>
      </c>
      <c r="F41" s="317">
        <v>324</v>
      </c>
      <c r="G41" s="316">
        <v>483</v>
      </c>
    </row>
    <row r="42" spans="1:7" s="579" customFormat="1" ht="15" customHeight="1">
      <c r="A42" s="593">
        <v>344</v>
      </c>
      <c r="B42" s="587"/>
      <c r="C42" s="585" t="s">
        <v>198</v>
      </c>
      <c r="D42" s="317">
        <v>0</v>
      </c>
      <c r="E42" s="316">
        <v>0</v>
      </c>
      <c r="F42" s="317">
        <v>10</v>
      </c>
      <c r="G42" s="316">
        <v>0</v>
      </c>
    </row>
    <row r="43" spans="1:7" s="579" customFormat="1" ht="15" customHeight="1">
      <c r="A43" s="593">
        <v>349</v>
      </c>
      <c r="B43" s="587"/>
      <c r="C43" s="585" t="s">
        <v>203</v>
      </c>
      <c r="D43" s="317">
        <v>0</v>
      </c>
      <c r="E43" s="316">
        <v>0</v>
      </c>
      <c r="F43" s="317">
        <v>0</v>
      </c>
      <c r="G43" s="316">
        <v>0</v>
      </c>
    </row>
    <row r="44" spans="1:7" s="480" customFormat="1" ht="15" customHeight="1">
      <c r="A44" s="591">
        <v>440</v>
      </c>
      <c r="B44" s="587"/>
      <c r="C44" s="585" t="s">
        <v>202</v>
      </c>
      <c r="D44" s="317">
        <v>7601</v>
      </c>
      <c r="E44" s="316">
        <v>6002</v>
      </c>
      <c r="F44" s="317">
        <v>6880</v>
      </c>
      <c r="G44" s="316">
        <v>4135</v>
      </c>
    </row>
    <row r="45" spans="1:7" s="480" customFormat="1" ht="15" customHeight="1">
      <c r="A45" s="591">
        <v>441</v>
      </c>
      <c r="B45" s="587"/>
      <c r="C45" s="585" t="s">
        <v>201</v>
      </c>
      <c r="D45" s="317">
        <v>265</v>
      </c>
      <c r="E45" s="316">
        <v>90</v>
      </c>
      <c r="F45" s="317">
        <v>599</v>
      </c>
      <c r="G45" s="316">
        <v>300</v>
      </c>
    </row>
    <row r="46" spans="1:7" s="480" customFormat="1" ht="15" customHeight="1">
      <c r="A46" s="591">
        <v>442</v>
      </c>
      <c r="B46" s="587"/>
      <c r="C46" s="585" t="s">
        <v>200</v>
      </c>
      <c r="D46" s="317">
        <v>22349</v>
      </c>
      <c r="E46" s="316">
        <v>19495</v>
      </c>
      <c r="F46" s="317">
        <v>20529</v>
      </c>
      <c r="G46" s="316">
        <v>20073</v>
      </c>
    </row>
    <row r="47" spans="1:7" s="480" customFormat="1" ht="15" customHeight="1">
      <c r="A47" s="591">
        <v>443</v>
      </c>
      <c r="B47" s="587"/>
      <c r="C47" s="585" t="s">
        <v>199</v>
      </c>
      <c r="D47" s="317">
        <v>1441</v>
      </c>
      <c r="E47" s="316">
        <v>1571</v>
      </c>
      <c r="F47" s="317">
        <v>1721</v>
      </c>
      <c r="G47" s="316">
        <v>2114</v>
      </c>
    </row>
    <row r="48" spans="1:7" s="480" customFormat="1" ht="15" customHeight="1">
      <c r="A48" s="591">
        <v>444</v>
      </c>
      <c r="B48" s="587"/>
      <c r="C48" s="585" t="s">
        <v>198</v>
      </c>
      <c r="D48" s="317">
        <v>0</v>
      </c>
      <c r="E48" s="316">
        <v>0</v>
      </c>
      <c r="F48" s="317">
        <v>0</v>
      </c>
      <c r="G48" s="316">
        <v>0</v>
      </c>
    </row>
    <row r="49" spans="1:7" s="480" customFormat="1" ht="15" customHeight="1">
      <c r="A49" s="591">
        <v>445</v>
      </c>
      <c r="B49" s="587"/>
      <c r="C49" s="585" t="s">
        <v>197</v>
      </c>
      <c r="D49" s="317">
        <v>3052</v>
      </c>
      <c r="E49" s="316">
        <v>281</v>
      </c>
      <c r="F49" s="317">
        <v>325</v>
      </c>
      <c r="G49" s="316">
        <v>258</v>
      </c>
    </row>
    <row r="50" spans="1:7" s="480" customFormat="1" ht="15" customHeight="1">
      <c r="A50" s="591">
        <v>446</v>
      </c>
      <c r="B50" s="587"/>
      <c r="C50" s="585" t="s">
        <v>196</v>
      </c>
      <c r="D50" s="317">
        <v>69194</v>
      </c>
      <c r="E50" s="316">
        <v>69172</v>
      </c>
      <c r="F50" s="317">
        <v>69239</v>
      </c>
      <c r="G50" s="316">
        <v>69172</v>
      </c>
    </row>
    <row r="51" spans="1:7" s="480" customFormat="1" ht="15" customHeight="1">
      <c r="A51" s="591">
        <v>447</v>
      </c>
      <c r="B51" s="587"/>
      <c r="C51" s="585" t="s">
        <v>195</v>
      </c>
      <c r="D51" s="317">
        <v>4647</v>
      </c>
      <c r="E51" s="316">
        <v>4017</v>
      </c>
      <c r="F51" s="317">
        <v>4303</v>
      </c>
      <c r="G51" s="316">
        <v>3734</v>
      </c>
    </row>
    <row r="52" spans="1:7" s="480" customFormat="1" ht="15" customHeight="1">
      <c r="A52" s="591">
        <v>448</v>
      </c>
      <c r="B52" s="587"/>
      <c r="C52" s="585" t="s">
        <v>194</v>
      </c>
      <c r="D52" s="317">
        <v>0</v>
      </c>
      <c r="E52" s="316">
        <v>0</v>
      </c>
      <c r="F52" s="317">
        <v>0</v>
      </c>
      <c r="G52" s="316">
        <v>0</v>
      </c>
    </row>
    <row r="53" spans="1:7" s="480" customFormat="1" ht="15" customHeight="1">
      <c r="A53" s="591">
        <v>449</v>
      </c>
      <c r="B53" s="587"/>
      <c r="C53" s="585" t="s">
        <v>193</v>
      </c>
      <c r="D53" s="317">
        <v>0</v>
      </c>
      <c r="E53" s="316">
        <v>0</v>
      </c>
      <c r="F53" s="317">
        <v>0</v>
      </c>
      <c r="G53" s="316">
        <v>0</v>
      </c>
    </row>
    <row r="54" spans="1:7" s="579" customFormat="1" ht="13.5" customHeight="1">
      <c r="A54" s="607" t="s">
        <v>192</v>
      </c>
      <c r="B54" s="580"/>
      <c r="C54" s="580" t="s">
        <v>191</v>
      </c>
      <c r="D54" s="300">
        <v>0</v>
      </c>
      <c r="E54" s="299">
        <v>0</v>
      </c>
      <c r="F54" s="300">
        <v>0</v>
      </c>
      <c r="G54" s="299">
        <v>0</v>
      </c>
    </row>
    <row r="55" spans="1:7" ht="15" customHeight="1">
      <c r="A55" s="606"/>
      <c r="B55" s="606"/>
      <c r="C55" s="576" t="s">
        <v>55</v>
      </c>
      <c r="D55" s="380">
        <f>SUM(D44:D53)-SUM(D38:D43)</f>
        <v>105619</v>
      </c>
      <c r="E55" s="380">
        <f>SUM(E44:E53)-SUM(E38:E43)</f>
        <v>98177</v>
      </c>
      <c r="F55" s="380">
        <f>SUM(F44:F53)-SUM(F38:F43)</f>
        <v>101089</v>
      </c>
      <c r="G55" s="380">
        <f>SUM(G44:G53)-SUM(G38:G43)</f>
        <v>97948</v>
      </c>
    </row>
    <row r="56" spans="1:7" ht="14.25" customHeight="1">
      <c r="A56" s="606"/>
      <c r="B56" s="606"/>
      <c r="C56" s="576" t="s">
        <v>190</v>
      </c>
      <c r="D56" s="380">
        <f>D55+D37</f>
        <v>39533</v>
      </c>
      <c r="E56" s="380">
        <f>E55+E37</f>
        <v>-58409</v>
      </c>
      <c r="F56" s="380">
        <f>F55+F37</f>
        <v>43721</v>
      </c>
      <c r="G56" s="380">
        <f>G55+G37</f>
        <v>-62917</v>
      </c>
    </row>
    <row r="57" spans="1:7" s="480" customFormat="1" ht="15.75" customHeight="1">
      <c r="A57" s="605">
        <v>380</v>
      </c>
      <c r="B57" s="604"/>
      <c r="C57" s="603" t="s">
        <v>189</v>
      </c>
      <c r="D57" s="735"/>
      <c r="E57" s="801">
        <v>0</v>
      </c>
      <c r="F57" s="735">
        <v>0</v>
      </c>
      <c r="G57" s="801">
        <v>0</v>
      </c>
    </row>
    <row r="58" spans="1:7" s="480" customFormat="1" ht="15.75" customHeight="1">
      <c r="A58" s="605">
        <v>381</v>
      </c>
      <c r="B58" s="604"/>
      <c r="C58" s="603" t="s">
        <v>188</v>
      </c>
      <c r="D58" s="735"/>
      <c r="E58" s="801">
        <v>0</v>
      </c>
      <c r="F58" s="735">
        <v>0</v>
      </c>
      <c r="G58" s="801">
        <v>0</v>
      </c>
    </row>
    <row r="59" spans="1:7" s="579" customFormat="1" ht="25.5">
      <c r="A59" s="597">
        <v>383</v>
      </c>
      <c r="B59" s="596"/>
      <c r="C59" s="589" t="s">
        <v>187</v>
      </c>
      <c r="D59" s="343"/>
      <c r="E59" s="563">
        <v>0</v>
      </c>
      <c r="F59" s="343">
        <v>0</v>
      </c>
      <c r="G59" s="563">
        <v>0</v>
      </c>
    </row>
    <row r="60" spans="1:7" s="579" customFormat="1">
      <c r="A60" s="597">
        <v>3840</v>
      </c>
      <c r="B60" s="596"/>
      <c r="C60" s="589" t="s">
        <v>186</v>
      </c>
      <c r="D60" s="401"/>
      <c r="E60" s="400">
        <v>0</v>
      </c>
      <c r="F60" s="401">
        <v>0</v>
      </c>
      <c r="G60" s="400">
        <v>0</v>
      </c>
    </row>
    <row r="61" spans="1:7" s="579" customFormat="1">
      <c r="A61" s="597">
        <v>3841</v>
      </c>
      <c r="B61" s="596"/>
      <c r="C61" s="589" t="s">
        <v>185</v>
      </c>
      <c r="D61" s="401">
        <v>102798</v>
      </c>
      <c r="E61" s="400">
        <v>0</v>
      </c>
      <c r="F61" s="401">
        <v>64435</v>
      </c>
      <c r="G61" s="400">
        <v>0</v>
      </c>
    </row>
    <row r="62" spans="1:7" s="579" customFormat="1">
      <c r="A62" s="600">
        <v>386</v>
      </c>
      <c r="B62" s="599"/>
      <c r="C62" s="598" t="s">
        <v>184</v>
      </c>
      <c r="D62" s="401"/>
      <c r="E62" s="400">
        <v>0</v>
      </c>
      <c r="F62" s="401">
        <v>0</v>
      </c>
      <c r="G62" s="400">
        <v>0</v>
      </c>
    </row>
    <row r="63" spans="1:7" s="579" customFormat="1" ht="25.5">
      <c r="A63" s="597">
        <v>387</v>
      </c>
      <c r="B63" s="596"/>
      <c r="C63" s="589" t="s">
        <v>183</v>
      </c>
      <c r="D63" s="401"/>
      <c r="E63" s="400">
        <v>0</v>
      </c>
      <c r="F63" s="401">
        <v>0</v>
      </c>
      <c r="G63" s="400">
        <v>0</v>
      </c>
    </row>
    <row r="64" spans="1:7" s="579" customFormat="1">
      <c r="A64" s="617">
        <v>389</v>
      </c>
      <c r="B64" s="733"/>
      <c r="C64" s="616" t="s">
        <v>182</v>
      </c>
      <c r="D64" s="322"/>
      <c r="E64" s="321">
        <v>0</v>
      </c>
      <c r="F64" s="322">
        <v>0</v>
      </c>
      <c r="G64" s="321">
        <v>0</v>
      </c>
    </row>
    <row r="65" spans="1:7" s="480" customFormat="1">
      <c r="A65" s="593" t="s">
        <v>181</v>
      </c>
      <c r="B65" s="587"/>
      <c r="C65" s="585" t="s">
        <v>180</v>
      </c>
      <c r="D65" s="317"/>
      <c r="E65" s="316">
        <v>0</v>
      </c>
      <c r="F65" s="317">
        <v>0</v>
      </c>
      <c r="G65" s="316">
        <v>0</v>
      </c>
    </row>
    <row r="66" spans="1:7" s="588" customFormat="1">
      <c r="A66" s="666" t="s">
        <v>179</v>
      </c>
      <c r="B66" s="590"/>
      <c r="C66" s="589" t="s">
        <v>178</v>
      </c>
      <c r="D66" s="343"/>
      <c r="E66" s="342">
        <v>0</v>
      </c>
      <c r="F66" s="343">
        <v>0</v>
      </c>
      <c r="G66" s="342">
        <v>0</v>
      </c>
    </row>
    <row r="67" spans="1:7" s="480" customFormat="1">
      <c r="A67" s="584">
        <v>481</v>
      </c>
      <c r="B67" s="587"/>
      <c r="C67" s="585" t="s">
        <v>177</v>
      </c>
      <c r="D67" s="317"/>
      <c r="E67" s="316">
        <v>0</v>
      </c>
      <c r="F67" s="317">
        <v>0</v>
      </c>
      <c r="G67" s="316">
        <v>0</v>
      </c>
    </row>
    <row r="68" spans="1:7" s="480" customFormat="1">
      <c r="A68" s="584">
        <v>482</v>
      </c>
      <c r="B68" s="587"/>
      <c r="C68" s="585" t="s">
        <v>176</v>
      </c>
      <c r="D68" s="317"/>
      <c r="E68" s="316">
        <v>0</v>
      </c>
      <c r="F68" s="317">
        <v>0</v>
      </c>
      <c r="G68" s="316">
        <v>0</v>
      </c>
    </row>
    <row r="69" spans="1:7" s="480" customFormat="1">
      <c r="A69" s="584">
        <v>483</v>
      </c>
      <c r="B69" s="587"/>
      <c r="C69" s="585" t="s">
        <v>175</v>
      </c>
      <c r="D69" s="317"/>
      <c r="E69" s="316">
        <v>0</v>
      </c>
      <c r="F69" s="317">
        <v>0</v>
      </c>
      <c r="G69" s="316">
        <v>0</v>
      </c>
    </row>
    <row r="70" spans="1:7" s="480" customFormat="1">
      <c r="A70" s="584">
        <v>484</v>
      </c>
      <c r="B70" s="587"/>
      <c r="C70" s="585" t="s">
        <v>174</v>
      </c>
      <c r="D70" s="317">
        <v>29717</v>
      </c>
      <c r="E70" s="316">
        <v>0</v>
      </c>
      <c r="F70" s="317">
        <v>69492</v>
      </c>
      <c r="G70" s="316">
        <v>0</v>
      </c>
    </row>
    <row r="71" spans="1:7" s="480" customFormat="1">
      <c r="A71" s="584">
        <v>485</v>
      </c>
      <c r="B71" s="587"/>
      <c r="C71" s="585" t="s">
        <v>173</v>
      </c>
      <c r="D71" s="317"/>
      <c r="E71" s="316">
        <v>0</v>
      </c>
      <c r="F71" s="317">
        <v>0</v>
      </c>
      <c r="G71" s="316">
        <v>0</v>
      </c>
    </row>
    <row r="72" spans="1:7" s="480" customFormat="1">
      <c r="A72" s="584">
        <v>486</v>
      </c>
      <c r="B72" s="587"/>
      <c r="C72" s="585" t="s">
        <v>172</v>
      </c>
      <c r="D72" s="317"/>
      <c r="E72" s="316">
        <v>0</v>
      </c>
      <c r="F72" s="317">
        <v>0</v>
      </c>
      <c r="G72" s="316">
        <v>0</v>
      </c>
    </row>
    <row r="73" spans="1:7" s="579" customFormat="1">
      <c r="A73" s="584">
        <v>487</v>
      </c>
      <c r="B73" s="586"/>
      <c r="C73" s="585" t="s">
        <v>171</v>
      </c>
      <c r="D73" s="317"/>
      <c r="E73" s="361">
        <v>0</v>
      </c>
      <c r="F73" s="317">
        <v>0</v>
      </c>
      <c r="G73" s="361">
        <v>0</v>
      </c>
    </row>
    <row r="74" spans="1:7" s="579" customFormat="1">
      <c r="A74" s="584">
        <v>489</v>
      </c>
      <c r="B74" s="581"/>
      <c r="C74" s="583" t="s">
        <v>170</v>
      </c>
      <c r="D74" s="317"/>
      <c r="E74" s="361">
        <v>0</v>
      </c>
      <c r="F74" s="317">
        <v>6379</v>
      </c>
      <c r="G74" s="361">
        <v>8000</v>
      </c>
    </row>
    <row r="75" spans="1:7" s="579" customFormat="1">
      <c r="A75" s="582" t="s">
        <v>169</v>
      </c>
      <c r="B75" s="581"/>
      <c r="C75" s="580" t="s">
        <v>168</v>
      </c>
      <c r="D75" s="317"/>
      <c r="E75" s="316">
        <v>0</v>
      </c>
      <c r="F75" s="317">
        <v>0</v>
      </c>
      <c r="G75" s="316">
        <v>0</v>
      </c>
    </row>
    <row r="76" spans="1:7">
      <c r="A76" s="578"/>
      <c r="B76" s="578"/>
      <c r="C76" s="576" t="s">
        <v>167</v>
      </c>
      <c r="D76" s="380">
        <f>SUM(D65:D74)-SUM(D57:D64)</f>
        <v>-73081</v>
      </c>
      <c r="E76" s="380">
        <f>SUM(E65:E74)-SUM(E57:E64)</f>
        <v>0</v>
      </c>
      <c r="F76" s="380">
        <f>SUM(F65:F74)-SUM(F57:F64)</f>
        <v>11436</v>
      </c>
      <c r="G76" s="380">
        <f>SUM(G65:G74)-SUM(G57:G64)</f>
        <v>8000</v>
      </c>
    </row>
    <row r="77" spans="1:7">
      <c r="A77" s="577"/>
      <c r="B77" s="577"/>
      <c r="C77" s="576" t="s">
        <v>166</v>
      </c>
      <c r="D77" s="380">
        <f>D56+D76</f>
        <v>-33548</v>
      </c>
      <c r="E77" s="380">
        <f>E56+E76</f>
        <v>-58409</v>
      </c>
      <c r="F77" s="380">
        <f>F56+F76</f>
        <v>55157</v>
      </c>
      <c r="G77" s="380">
        <f>G56+G76</f>
        <v>-54917</v>
      </c>
    </row>
    <row r="78" spans="1:7">
      <c r="A78" s="575">
        <v>3</v>
      </c>
      <c r="B78" s="575"/>
      <c r="C78" s="574" t="s">
        <v>165</v>
      </c>
      <c r="D78" s="377">
        <f>D20+D21+SUM(D38:D43)+SUM(D57:D64)</f>
        <v>2489094</v>
      </c>
      <c r="E78" s="377">
        <f>E20+E21+SUM(E38:E43)+SUM(E57:E64)</f>
        <v>2463154</v>
      </c>
      <c r="F78" s="377">
        <f>F20+F21+SUM(F38:F43)+SUM(F57:F64)</f>
        <v>2511117</v>
      </c>
      <c r="G78" s="377">
        <f>G20+G21+SUM(G38:G43)+SUM(G57:G64)</f>
        <v>2524531</v>
      </c>
    </row>
    <row r="79" spans="1:7">
      <c r="A79" s="575">
        <v>4</v>
      </c>
      <c r="B79" s="575"/>
      <c r="C79" s="574" t="s">
        <v>164</v>
      </c>
      <c r="D79" s="377">
        <f>D35+D36+SUM(D44:D53)+SUM(D65:D74)</f>
        <v>2455546</v>
      </c>
      <c r="E79" s="377">
        <f>E35+E36+SUM(E44:E53)+SUM(E65:E74)</f>
        <v>2404745</v>
      </c>
      <c r="F79" s="377">
        <f>F35+F36+SUM(F44:F53)+SUM(F65:F74)</f>
        <v>2566274</v>
      </c>
      <c r="G79" s="377">
        <f>G35+G36+SUM(G44:G53)+SUM(G65:G74)</f>
        <v>2469614</v>
      </c>
    </row>
    <row r="80" spans="1:7">
      <c r="A80" s="534"/>
      <c r="B80" s="534"/>
      <c r="C80" s="533"/>
      <c r="D80" s="260"/>
      <c r="E80" s="260"/>
      <c r="F80" s="260"/>
      <c r="G80" s="260"/>
    </row>
    <row r="81" spans="1:7">
      <c r="A81" s="951" t="s">
        <v>163</v>
      </c>
      <c r="B81" s="952"/>
      <c r="C81" s="952"/>
      <c r="D81" s="376"/>
      <c r="E81" s="375"/>
      <c r="F81" s="376"/>
      <c r="G81" s="375"/>
    </row>
    <row r="82" spans="1:7" s="480" customFormat="1">
      <c r="A82" s="567">
        <v>50</v>
      </c>
      <c r="B82" s="565"/>
      <c r="C82" s="565" t="s">
        <v>162</v>
      </c>
      <c r="D82" s="317">
        <v>153059</v>
      </c>
      <c r="E82" s="316">
        <v>171010</v>
      </c>
      <c r="F82" s="317">
        <v>156817</v>
      </c>
      <c r="G82" s="316">
        <v>188979</v>
      </c>
    </row>
    <row r="83" spans="1:7" s="480" customFormat="1">
      <c r="A83" s="567">
        <v>51</v>
      </c>
      <c r="B83" s="565"/>
      <c r="C83" s="565" t="s">
        <v>161</v>
      </c>
      <c r="D83" s="317">
        <v>0</v>
      </c>
      <c r="E83" s="316">
        <v>0</v>
      </c>
      <c r="F83" s="317">
        <v>0</v>
      </c>
      <c r="G83" s="316">
        <v>0</v>
      </c>
    </row>
    <row r="84" spans="1:7" s="480" customFormat="1">
      <c r="A84" s="567">
        <v>52</v>
      </c>
      <c r="B84" s="565"/>
      <c r="C84" s="565" t="s">
        <v>160</v>
      </c>
      <c r="D84" s="317">
        <v>5807</v>
      </c>
      <c r="E84" s="316">
        <v>9980</v>
      </c>
      <c r="F84" s="317">
        <v>5738</v>
      </c>
      <c r="G84" s="316">
        <v>10893</v>
      </c>
    </row>
    <row r="85" spans="1:7" s="480" customFormat="1">
      <c r="A85" s="571">
        <v>54</v>
      </c>
      <c r="B85" s="570"/>
      <c r="C85" s="570" t="s">
        <v>117</v>
      </c>
      <c r="D85" s="322">
        <v>6081</v>
      </c>
      <c r="E85" s="316">
        <v>18098</v>
      </c>
      <c r="F85" s="322">
        <v>5427</v>
      </c>
      <c r="G85" s="316">
        <v>16890</v>
      </c>
    </row>
    <row r="86" spans="1:7" s="480" customFormat="1">
      <c r="A86" s="571">
        <v>55</v>
      </c>
      <c r="B86" s="570"/>
      <c r="C86" s="570" t="s">
        <v>159</v>
      </c>
      <c r="D86" s="322">
        <v>4100</v>
      </c>
      <c r="E86" s="316">
        <v>0</v>
      </c>
      <c r="F86" s="322">
        <v>0</v>
      </c>
      <c r="G86" s="316">
        <v>0</v>
      </c>
    </row>
    <row r="87" spans="1:7" s="480" customFormat="1">
      <c r="A87" s="571">
        <v>56</v>
      </c>
      <c r="B87" s="570"/>
      <c r="C87" s="570" t="s">
        <v>158</v>
      </c>
      <c r="D87" s="322">
        <v>110109</v>
      </c>
      <c r="E87" s="316">
        <v>120498</v>
      </c>
      <c r="F87" s="322">
        <v>96216</v>
      </c>
      <c r="G87" s="316">
        <v>123508</v>
      </c>
    </row>
    <row r="88" spans="1:7" s="480" customFormat="1">
      <c r="A88" s="567">
        <v>57</v>
      </c>
      <c r="B88" s="565"/>
      <c r="C88" s="565" t="s">
        <v>143</v>
      </c>
      <c r="D88" s="317">
        <v>94057</v>
      </c>
      <c r="E88" s="316">
        <v>87921</v>
      </c>
      <c r="F88" s="317">
        <v>114744</v>
      </c>
      <c r="G88" s="316">
        <v>97472</v>
      </c>
    </row>
    <row r="89" spans="1:7" s="480" customFormat="1">
      <c r="A89" s="567">
        <v>580</v>
      </c>
      <c r="B89" s="565"/>
      <c r="C89" s="565" t="s">
        <v>157</v>
      </c>
      <c r="D89" s="317">
        <v>0</v>
      </c>
      <c r="E89" s="316">
        <v>0</v>
      </c>
      <c r="F89" s="317">
        <v>0</v>
      </c>
      <c r="G89" s="316">
        <v>0</v>
      </c>
    </row>
    <row r="90" spans="1:7" s="480" customFormat="1">
      <c r="A90" s="567">
        <v>582</v>
      </c>
      <c r="B90" s="565"/>
      <c r="C90" s="565" t="s">
        <v>156</v>
      </c>
      <c r="D90" s="317">
        <v>0</v>
      </c>
      <c r="E90" s="316">
        <v>0</v>
      </c>
      <c r="F90" s="317">
        <v>0</v>
      </c>
      <c r="G90" s="316">
        <v>0</v>
      </c>
    </row>
    <row r="91" spans="1:7" s="480" customFormat="1">
      <c r="A91" s="567">
        <v>584</v>
      </c>
      <c r="B91" s="565"/>
      <c r="C91" s="565" t="s">
        <v>155</v>
      </c>
      <c r="D91" s="317">
        <v>0</v>
      </c>
      <c r="E91" s="316">
        <v>0</v>
      </c>
      <c r="F91" s="317">
        <v>0</v>
      </c>
      <c r="G91" s="316">
        <v>0</v>
      </c>
    </row>
    <row r="92" spans="1:7" s="480" customFormat="1">
      <c r="A92" s="567">
        <v>585</v>
      </c>
      <c r="B92" s="565"/>
      <c r="C92" s="565" t="s">
        <v>154</v>
      </c>
      <c r="D92" s="317">
        <v>0</v>
      </c>
      <c r="E92" s="316">
        <v>0</v>
      </c>
      <c r="F92" s="317">
        <v>0</v>
      </c>
      <c r="G92" s="316">
        <v>0</v>
      </c>
    </row>
    <row r="93" spans="1:7" s="480" customFormat="1">
      <c r="A93" s="567">
        <v>586</v>
      </c>
      <c r="B93" s="565"/>
      <c r="C93" s="565" t="s">
        <v>153</v>
      </c>
      <c r="D93" s="317">
        <v>0</v>
      </c>
      <c r="E93" s="316">
        <v>0</v>
      </c>
      <c r="F93" s="317">
        <v>0</v>
      </c>
      <c r="G93" s="316">
        <v>0</v>
      </c>
    </row>
    <row r="94" spans="1:7" s="480" customFormat="1">
      <c r="A94" s="568">
        <v>589</v>
      </c>
      <c r="B94" s="561"/>
      <c r="C94" s="561" t="s">
        <v>152</v>
      </c>
      <c r="D94" s="333">
        <v>0</v>
      </c>
      <c r="E94" s="372">
        <v>0</v>
      </c>
      <c r="F94" s="333">
        <v>0</v>
      </c>
      <c r="G94" s="372">
        <v>0</v>
      </c>
    </row>
    <row r="95" spans="1:7">
      <c r="A95" s="557">
        <v>5</v>
      </c>
      <c r="B95" s="555"/>
      <c r="C95" s="555" t="s">
        <v>151</v>
      </c>
      <c r="D95" s="348">
        <f>SUM(D82:D94)</f>
        <v>373213</v>
      </c>
      <c r="E95" s="348">
        <f>SUM(E82:E94)</f>
        <v>407507</v>
      </c>
      <c r="F95" s="348">
        <f>SUM(F82:F94)</f>
        <v>378942</v>
      </c>
      <c r="G95" s="348">
        <f>SUM(G82:G94)</f>
        <v>437742</v>
      </c>
    </row>
    <row r="96" spans="1:7" s="480" customFormat="1">
      <c r="A96" s="567">
        <v>60</v>
      </c>
      <c r="B96" s="565"/>
      <c r="C96" s="565" t="s">
        <v>150</v>
      </c>
      <c r="D96" s="317">
        <v>653</v>
      </c>
      <c r="E96" s="316">
        <v>0</v>
      </c>
      <c r="F96" s="317">
        <v>0</v>
      </c>
      <c r="G96" s="316">
        <v>0</v>
      </c>
    </row>
    <row r="97" spans="1:7" s="480" customFormat="1">
      <c r="A97" s="567">
        <v>61</v>
      </c>
      <c r="B97" s="565"/>
      <c r="C97" s="565" t="s">
        <v>149</v>
      </c>
      <c r="D97" s="317">
        <v>3488</v>
      </c>
      <c r="E97" s="316">
        <v>7622</v>
      </c>
      <c r="F97" s="317">
        <v>3725</v>
      </c>
      <c r="G97" s="316">
        <v>7400</v>
      </c>
    </row>
    <row r="98" spans="1:7" s="480" customFormat="1">
      <c r="A98" s="567">
        <v>62</v>
      </c>
      <c r="B98" s="565"/>
      <c r="C98" s="565" t="s">
        <v>148</v>
      </c>
      <c r="D98" s="317">
        <v>0</v>
      </c>
      <c r="E98" s="316">
        <v>0</v>
      </c>
      <c r="F98" s="317">
        <v>0</v>
      </c>
      <c r="G98" s="316">
        <v>0</v>
      </c>
    </row>
    <row r="99" spans="1:7" s="480" customFormat="1">
      <c r="A99" s="567">
        <v>63</v>
      </c>
      <c r="B99" s="565"/>
      <c r="C99" s="565" t="s">
        <v>147</v>
      </c>
      <c r="D99" s="317">
        <v>109648</v>
      </c>
      <c r="E99" s="316">
        <v>114064</v>
      </c>
      <c r="F99" s="317">
        <v>128464</v>
      </c>
      <c r="G99" s="316">
        <v>119914</v>
      </c>
    </row>
    <row r="100" spans="1:7" s="480" customFormat="1">
      <c r="A100" s="571">
        <v>64</v>
      </c>
      <c r="B100" s="570"/>
      <c r="C100" s="570" t="s">
        <v>146</v>
      </c>
      <c r="D100" s="322">
        <v>3734</v>
      </c>
      <c r="E100" s="316">
        <v>6002</v>
      </c>
      <c r="F100" s="322">
        <v>3802</v>
      </c>
      <c r="G100" s="316">
        <v>4914</v>
      </c>
    </row>
    <row r="101" spans="1:7" s="480" customFormat="1">
      <c r="A101" s="571">
        <v>65</v>
      </c>
      <c r="B101" s="570"/>
      <c r="C101" s="570" t="s">
        <v>145</v>
      </c>
      <c r="D101" s="322">
        <v>0</v>
      </c>
      <c r="E101" s="316">
        <v>0</v>
      </c>
      <c r="F101" s="322">
        <v>5</v>
      </c>
      <c r="G101" s="316">
        <v>0</v>
      </c>
    </row>
    <row r="102" spans="1:7" s="480" customFormat="1">
      <c r="A102" s="571">
        <v>66</v>
      </c>
      <c r="B102" s="570"/>
      <c r="C102" s="570" t="s">
        <v>144</v>
      </c>
      <c r="D102" s="322">
        <v>128</v>
      </c>
      <c r="E102" s="316">
        <v>364</v>
      </c>
      <c r="F102" s="322">
        <v>182</v>
      </c>
      <c r="G102" s="316">
        <v>373</v>
      </c>
    </row>
    <row r="103" spans="1:7" s="480" customFormat="1">
      <c r="A103" s="567">
        <v>67</v>
      </c>
      <c r="B103" s="565"/>
      <c r="C103" s="565" t="s">
        <v>143</v>
      </c>
      <c r="D103" s="317">
        <v>94057</v>
      </c>
      <c r="E103" s="361">
        <v>87921</v>
      </c>
      <c r="F103" s="317">
        <v>114744</v>
      </c>
      <c r="G103" s="361">
        <v>97472</v>
      </c>
    </row>
    <row r="104" spans="1:7" s="480" customFormat="1" ht="25.5">
      <c r="A104" s="566" t="s">
        <v>142</v>
      </c>
      <c r="B104" s="565"/>
      <c r="C104" s="564" t="s">
        <v>141</v>
      </c>
      <c r="D104" s="362">
        <v>708</v>
      </c>
      <c r="E104" s="361">
        <v>0</v>
      </c>
      <c r="F104" s="362">
        <v>0</v>
      </c>
      <c r="G104" s="361">
        <v>0</v>
      </c>
    </row>
    <row r="105" spans="1:7" s="480" customFormat="1" ht="38.25">
      <c r="A105" s="562" t="s">
        <v>140</v>
      </c>
      <c r="B105" s="561"/>
      <c r="C105" s="560" t="s">
        <v>139</v>
      </c>
      <c r="D105" s="355"/>
      <c r="E105" s="354">
        <v>0</v>
      </c>
      <c r="F105" s="355">
        <v>0</v>
      </c>
      <c r="G105" s="354">
        <v>0</v>
      </c>
    </row>
    <row r="106" spans="1:7">
      <c r="A106" s="557">
        <v>6</v>
      </c>
      <c r="B106" s="555"/>
      <c r="C106" s="555" t="s">
        <v>138</v>
      </c>
      <c r="D106" s="348">
        <f>SUM(D96:D105)</f>
        <v>212416</v>
      </c>
      <c r="E106" s="348">
        <f>SUM(E96:E105)</f>
        <v>215973</v>
      </c>
      <c r="F106" s="348">
        <f>SUM(F96:F105)</f>
        <v>250922</v>
      </c>
      <c r="G106" s="348">
        <f>SUM(G96:G105)</f>
        <v>230073</v>
      </c>
    </row>
    <row r="107" spans="1:7">
      <c r="A107" s="556" t="s">
        <v>137</v>
      </c>
      <c r="B107" s="556"/>
      <c r="C107" s="555" t="s">
        <v>3</v>
      </c>
      <c r="D107" s="348">
        <f>(D95-D88)-(D106-D103)</f>
        <v>160797</v>
      </c>
      <c r="E107" s="348">
        <f>(E95-E88)-(E106-E103)</f>
        <v>191534</v>
      </c>
      <c r="F107" s="348">
        <f>(F95-F88)-(F106-F103)</f>
        <v>128020</v>
      </c>
      <c r="G107" s="348">
        <f>(G95-G88)-(G106-G103)</f>
        <v>207669</v>
      </c>
    </row>
    <row r="108" spans="1:7">
      <c r="A108" s="554" t="s">
        <v>136</v>
      </c>
      <c r="B108" s="554"/>
      <c r="C108" s="553" t="s">
        <v>135</v>
      </c>
      <c r="D108" s="348">
        <f>D107-D85-D86+D100+D101</f>
        <v>154350</v>
      </c>
      <c r="E108" s="348">
        <f>E107-E85-E86+E100+E101</f>
        <v>179438</v>
      </c>
      <c r="F108" s="348">
        <f>F107-F85-F86+F100+F101</f>
        <v>126400</v>
      </c>
      <c r="G108" s="348">
        <f>G107-G85-G86+G100+G101</f>
        <v>195693</v>
      </c>
    </row>
    <row r="109" spans="1:7">
      <c r="A109" s="534"/>
      <c r="B109" s="534"/>
      <c r="C109" s="533"/>
      <c r="D109" s="260"/>
      <c r="E109" s="260"/>
      <c r="F109" s="260"/>
      <c r="G109" s="260"/>
    </row>
    <row r="110" spans="1:7" s="512" customFormat="1">
      <c r="A110" s="550" t="s">
        <v>134</v>
      </c>
      <c r="B110" s="551"/>
      <c r="C110" s="550"/>
      <c r="D110" s="260"/>
      <c r="E110" s="260"/>
      <c r="F110" s="260"/>
      <c r="G110" s="260"/>
    </row>
    <row r="111" spans="1:7" s="516" customFormat="1">
      <c r="A111" s="532">
        <v>10</v>
      </c>
      <c r="B111" s="531"/>
      <c r="C111" s="531" t="s">
        <v>133</v>
      </c>
      <c r="D111" s="327">
        <f>D112+D117</f>
        <v>2639115</v>
      </c>
      <c r="E111" s="326">
        <f>E112+E117</f>
        <v>0</v>
      </c>
      <c r="F111" s="327">
        <f>F112+F117</f>
        <v>2794013</v>
      </c>
      <c r="G111" s="326">
        <f>G112+G117</f>
        <v>0</v>
      </c>
    </row>
    <row r="112" spans="1:7" s="516" customFormat="1">
      <c r="A112" s="539" t="s">
        <v>132</v>
      </c>
      <c r="B112" s="519"/>
      <c r="C112" s="519" t="s">
        <v>131</v>
      </c>
      <c r="D112" s="327">
        <f>D113+D114+D115+D116</f>
        <v>1628535</v>
      </c>
      <c r="E112" s="326">
        <f>E113+E114+E115+E116</f>
        <v>0</v>
      </c>
      <c r="F112" s="327">
        <f>F113+F114+F115+F116</f>
        <v>1759184</v>
      </c>
      <c r="G112" s="326">
        <f>G113+G114+G115+G116</f>
        <v>0</v>
      </c>
    </row>
    <row r="113" spans="1:7" s="516" customFormat="1">
      <c r="A113" s="537" t="s">
        <v>130</v>
      </c>
      <c r="B113" s="526"/>
      <c r="C113" s="526" t="s">
        <v>129</v>
      </c>
      <c r="D113" s="317">
        <v>423686</v>
      </c>
      <c r="E113" s="316"/>
      <c r="F113" s="317">
        <v>450021</v>
      </c>
      <c r="G113" s="316"/>
    </row>
    <row r="114" spans="1:7" s="546" customFormat="1" ht="15" customHeight="1">
      <c r="A114" s="524">
        <v>102</v>
      </c>
      <c r="B114" s="665"/>
      <c r="C114" s="665" t="s">
        <v>128</v>
      </c>
      <c r="D114" s="343">
        <v>665504</v>
      </c>
      <c r="E114" s="342"/>
      <c r="F114" s="343">
        <v>729500</v>
      </c>
      <c r="G114" s="342"/>
    </row>
    <row r="115" spans="1:7" s="516" customFormat="1">
      <c r="A115" s="537">
        <v>104</v>
      </c>
      <c r="B115" s="526"/>
      <c r="C115" s="526" t="s">
        <v>127</v>
      </c>
      <c r="D115" s="317">
        <v>533695</v>
      </c>
      <c r="E115" s="316"/>
      <c r="F115" s="317">
        <v>573965</v>
      </c>
      <c r="G115" s="316"/>
    </row>
    <row r="116" spans="1:7" s="516" customFormat="1">
      <c r="A116" s="537">
        <v>106</v>
      </c>
      <c r="B116" s="526"/>
      <c r="C116" s="526" t="s">
        <v>126</v>
      </c>
      <c r="D116" s="317">
        <v>5650</v>
      </c>
      <c r="E116" s="316"/>
      <c r="F116" s="317">
        <v>5698</v>
      </c>
      <c r="G116" s="316"/>
    </row>
    <row r="117" spans="1:7" s="516" customFormat="1">
      <c r="A117" s="539" t="s">
        <v>125</v>
      </c>
      <c r="B117" s="519"/>
      <c r="C117" s="519" t="s">
        <v>124</v>
      </c>
      <c r="D117" s="327">
        <f>D118+D119+D120</f>
        <v>1010580</v>
      </c>
      <c r="E117" s="326">
        <f>E118+E119+E120</f>
        <v>0</v>
      </c>
      <c r="F117" s="327">
        <f>F118+F119+F120</f>
        <v>1034829</v>
      </c>
      <c r="G117" s="326">
        <f>G118+G119+G120</f>
        <v>0</v>
      </c>
    </row>
    <row r="118" spans="1:7" s="516" customFormat="1">
      <c r="A118" s="537">
        <v>107</v>
      </c>
      <c r="B118" s="526"/>
      <c r="C118" s="526" t="s">
        <v>123</v>
      </c>
      <c r="D118" s="317">
        <v>951956</v>
      </c>
      <c r="E118" s="316"/>
      <c r="F118" s="317">
        <v>975376</v>
      </c>
      <c r="G118" s="316"/>
    </row>
    <row r="119" spans="1:7" s="516" customFormat="1">
      <c r="A119" s="537">
        <v>108</v>
      </c>
      <c r="B119" s="526"/>
      <c r="C119" s="526" t="s">
        <v>122</v>
      </c>
      <c r="D119" s="317">
        <v>58624</v>
      </c>
      <c r="E119" s="316"/>
      <c r="F119" s="317">
        <v>59453</v>
      </c>
      <c r="G119" s="316"/>
    </row>
    <row r="120" spans="1:7" s="538" customFormat="1" ht="25.5">
      <c r="A120" s="524">
        <v>109</v>
      </c>
      <c r="B120" s="523"/>
      <c r="C120" s="523" t="s">
        <v>121</v>
      </c>
      <c r="D120" s="311">
        <v>0</v>
      </c>
      <c r="E120" s="310"/>
      <c r="F120" s="311">
        <v>0</v>
      </c>
      <c r="G120" s="310"/>
    </row>
    <row r="121" spans="1:7" s="516" customFormat="1">
      <c r="A121" s="539">
        <v>14</v>
      </c>
      <c r="B121" s="519"/>
      <c r="C121" s="519" t="s">
        <v>120</v>
      </c>
      <c r="D121" s="327">
        <f>SUM(D122:D130)</f>
        <v>1033342</v>
      </c>
      <c r="E121" s="327">
        <f>SUM(E122:E130)</f>
        <v>0</v>
      </c>
      <c r="F121" s="327">
        <f>SUM(F122:F130)</f>
        <v>1023060</v>
      </c>
      <c r="G121" s="327">
        <f>SUM(G122:G130)</f>
        <v>0</v>
      </c>
    </row>
    <row r="122" spans="1:7" s="516" customFormat="1">
      <c r="A122" s="537" t="s">
        <v>119</v>
      </c>
      <c r="B122" s="526"/>
      <c r="C122" s="526" t="s">
        <v>118</v>
      </c>
      <c r="D122" s="317">
        <v>533290</v>
      </c>
      <c r="E122" s="316"/>
      <c r="F122" s="317">
        <v>522989</v>
      </c>
      <c r="G122" s="316"/>
    </row>
    <row r="123" spans="1:7" s="516" customFormat="1">
      <c r="A123" s="537">
        <v>144</v>
      </c>
      <c r="B123" s="526"/>
      <c r="C123" s="526" t="s">
        <v>117</v>
      </c>
      <c r="D123" s="317">
        <v>199192</v>
      </c>
      <c r="E123" s="316"/>
      <c r="F123" s="317">
        <v>199216</v>
      </c>
      <c r="G123" s="316"/>
    </row>
    <row r="124" spans="1:7" s="516" customFormat="1">
      <c r="A124" s="537">
        <v>145</v>
      </c>
      <c r="B124" s="526"/>
      <c r="C124" s="526" t="s">
        <v>116</v>
      </c>
      <c r="D124" s="317">
        <v>300860</v>
      </c>
      <c r="E124" s="304"/>
      <c r="F124" s="317">
        <v>300855</v>
      </c>
      <c r="G124" s="304"/>
    </row>
    <row r="125" spans="1:7" s="516" customFormat="1">
      <c r="A125" s="537">
        <v>146</v>
      </c>
      <c r="B125" s="526"/>
      <c r="C125" s="526" t="s">
        <v>115</v>
      </c>
      <c r="D125" s="317">
        <v>0</v>
      </c>
      <c r="E125" s="304"/>
      <c r="F125" s="317">
        <v>0</v>
      </c>
      <c r="G125" s="304"/>
    </row>
    <row r="126" spans="1:7" s="538" customFormat="1" ht="29.45" customHeight="1">
      <c r="A126" s="524" t="s">
        <v>114</v>
      </c>
      <c r="B126" s="523"/>
      <c r="C126" s="523" t="s">
        <v>113</v>
      </c>
      <c r="D126" s="311">
        <v>0</v>
      </c>
      <c r="E126" s="339"/>
      <c r="F126" s="311">
        <v>0</v>
      </c>
      <c r="G126" s="339"/>
    </row>
    <row r="127" spans="1:7" s="516" customFormat="1">
      <c r="A127" s="537">
        <v>1484</v>
      </c>
      <c r="B127" s="526"/>
      <c r="C127" s="526" t="s">
        <v>112</v>
      </c>
      <c r="D127" s="317">
        <v>0</v>
      </c>
      <c r="E127" s="304"/>
      <c r="F127" s="317">
        <v>0</v>
      </c>
      <c r="G127" s="304"/>
    </row>
    <row r="128" spans="1:7" s="516" customFormat="1">
      <c r="A128" s="537">
        <v>1485</v>
      </c>
      <c r="B128" s="526"/>
      <c r="C128" s="526" t="s">
        <v>111</v>
      </c>
      <c r="D128" s="317">
        <v>0</v>
      </c>
      <c r="E128" s="304"/>
      <c r="F128" s="317">
        <v>0</v>
      </c>
      <c r="G128" s="304"/>
    </row>
    <row r="129" spans="1:7" s="516" customFormat="1">
      <c r="A129" s="537">
        <v>1486</v>
      </c>
      <c r="B129" s="526"/>
      <c r="C129" s="526" t="s">
        <v>110</v>
      </c>
      <c r="D129" s="317">
        <v>0</v>
      </c>
      <c r="E129" s="304"/>
      <c r="F129" s="317">
        <v>0</v>
      </c>
      <c r="G129" s="304"/>
    </row>
    <row r="130" spans="1:7" s="516" customFormat="1">
      <c r="A130" s="536">
        <v>1489</v>
      </c>
      <c r="B130" s="535"/>
      <c r="C130" s="535" t="s">
        <v>109</v>
      </c>
      <c r="D130" s="333">
        <v>0</v>
      </c>
      <c r="E130" s="332"/>
      <c r="F130" s="333">
        <v>0</v>
      </c>
      <c r="G130" s="332"/>
    </row>
    <row r="131" spans="1:7" s="512" customFormat="1">
      <c r="A131" s="515">
        <v>1</v>
      </c>
      <c r="B131" s="514"/>
      <c r="C131" s="515" t="s">
        <v>108</v>
      </c>
      <c r="D131" s="295">
        <f>D111+D121</f>
        <v>3672457</v>
      </c>
      <c r="E131" s="295">
        <f>E111+E121</f>
        <v>0</v>
      </c>
      <c r="F131" s="295">
        <f>F111+F121</f>
        <v>3817073</v>
      </c>
      <c r="G131" s="295">
        <f>G111+G121</f>
        <v>0</v>
      </c>
    </row>
    <row r="132" spans="1:7" s="512" customFormat="1">
      <c r="A132" s="534"/>
      <c r="B132" s="534"/>
      <c r="C132" s="533"/>
      <c r="D132" s="260"/>
      <c r="E132" s="260"/>
      <c r="F132" s="260"/>
      <c r="G132" s="260"/>
    </row>
    <row r="133" spans="1:7" s="516" customFormat="1">
      <c r="A133" s="532">
        <v>20</v>
      </c>
      <c r="B133" s="531"/>
      <c r="C133" s="531" t="s">
        <v>107</v>
      </c>
      <c r="D133" s="530">
        <f>D134+D140</f>
        <v>983602</v>
      </c>
      <c r="E133" s="530">
        <f>E134+E140</f>
        <v>0</v>
      </c>
      <c r="F133" s="530">
        <f>F134+F140</f>
        <v>1084659</v>
      </c>
      <c r="G133" s="530">
        <f>G134+G140</f>
        <v>0</v>
      </c>
    </row>
    <row r="134" spans="1:7" s="516" customFormat="1">
      <c r="A134" s="520" t="s">
        <v>106</v>
      </c>
      <c r="B134" s="519"/>
      <c r="C134" s="519" t="s">
        <v>105</v>
      </c>
      <c r="D134" s="327">
        <f>D135+D136+D138+D139</f>
        <v>581869</v>
      </c>
      <c r="E134" s="326">
        <f>E135+E136+E138+E139</f>
        <v>0</v>
      </c>
      <c r="F134" s="327">
        <f>F135+F136+F138+F139</f>
        <v>672623</v>
      </c>
      <c r="G134" s="326">
        <f>G135+G136+G138+G139</f>
        <v>0</v>
      </c>
    </row>
    <row r="135" spans="1:7" s="525" customFormat="1">
      <c r="A135" s="527">
        <v>200</v>
      </c>
      <c r="B135" s="526"/>
      <c r="C135" s="526" t="s">
        <v>104</v>
      </c>
      <c r="D135" s="317">
        <v>228318</v>
      </c>
      <c r="E135" s="316"/>
      <c r="F135" s="317">
        <v>268611</v>
      </c>
      <c r="G135" s="316"/>
    </row>
    <row r="136" spans="1:7" s="525" customFormat="1">
      <c r="A136" s="527">
        <v>201</v>
      </c>
      <c r="B136" s="526"/>
      <c r="C136" s="526" t="s">
        <v>103</v>
      </c>
      <c r="D136" s="317">
        <v>150000</v>
      </c>
      <c r="E136" s="316"/>
      <c r="F136" s="317">
        <v>170132</v>
      </c>
      <c r="G136" s="316"/>
    </row>
    <row r="137" spans="1:7" s="525" customFormat="1">
      <c r="A137" s="529" t="s">
        <v>102</v>
      </c>
      <c r="B137" s="528"/>
      <c r="C137" s="528" t="s">
        <v>101</v>
      </c>
      <c r="D137" s="322"/>
      <c r="E137" s="328"/>
      <c r="F137" s="322">
        <v>133</v>
      </c>
      <c r="G137" s="328"/>
    </row>
    <row r="138" spans="1:7" s="525" customFormat="1">
      <c r="A138" s="527">
        <v>204</v>
      </c>
      <c r="B138" s="526"/>
      <c r="C138" s="526" t="s">
        <v>100</v>
      </c>
      <c r="D138" s="317">
        <v>178199</v>
      </c>
      <c r="E138" s="304"/>
      <c r="F138" s="317">
        <v>209730</v>
      </c>
      <c r="G138" s="304"/>
    </row>
    <row r="139" spans="1:7" s="525" customFormat="1">
      <c r="A139" s="527">
        <v>205</v>
      </c>
      <c r="B139" s="526"/>
      <c r="C139" s="526" t="s">
        <v>99</v>
      </c>
      <c r="D139" s="317">
        <v>25352</v>
      </c>
      <c r="E139" s="304"/>
      <c r="F139" s="317">
        <v>24150</v>
      </c>
      <c r="G139" s="304"/>
    </row>
    <row r="140" spans="1:7" s="525" customFormat="1">
      <c r="A140" s="520" t="s">
        <v>98</v>
      </c>
      <c r="B140" s="519"/>
      <c r="C140" s="519" t="s">
        <v>97</v>
      </c>
      <c r="D140" s="327">
        <f>D141+D143+D144</f>
        <v>401733</v>
      </c>
      <c r="E140" s="326">
        <f>E141+E143+E144</f>
        <v>0</v>
      </c>
      <c r="F140" s="327">
        <f>F141+F143+F144</f>
        <v>412036</v>
      </c>
      <c r="G140" s="326">
        <f>G141+G143+G144</f>
        <v>0</v>
      </c>
    </row>
    <row r="141" spans="1:7" s="525" customFormat="1">
      <c r="A141" s="527">
        <v>206</v>
      </c>
      <c r="B141" s="526"/>
      <c r="C141" s="526" t="s">
        <v>96</v>
      </c>
      <c r="D141" s="317">
        <v>228708</v>
      </c>
      <c r="E141" s="304"/>
      <c r="F141" s="317">
        <v>199697</v>
      </c>
      <c r="G141" s="304"/>
    </row>
    <row r="142" spans="1:7" s="525" customFormat="1">
      <c r="A142" s="529" t="s">
        <v>95</v>
      </c>
      <c r="B142" s="528"/>
      <c r="C142" s="528" t="s">
        <v>94</v>
      </c>
      <c r="D142" s="322">
        <v>0</v>
      </c>
      <c r="E142" s="328"/>
      <c r="F142" s="322">
        <v>0</v>
      </c>
      <c r="G142" s="328"/>
    </row>
    <row r="143" spans="1:7" s="525" customFormat="1">
      <c r="A143" s="527">
        <v>208</v>
      </c>
      <c r="B143" s="526"/>
      <c r="C143" s="526" t="s">
        <v>93</v>
      </c>
      <c r="D143" s="317">
        <v>112403</v>
      </c>
      <c r="E143" s="304"/>
      <c r="F143" s="317">
        <v>98970</v>
      </c>
      <c r="G143" s="304"/>
    </row>
    <row r="144" spans="1:7" s="521" customFormat="1" ht="25.5">
      <c r="A144" s="524">
        <v>209</v>
      </c>
      <c r="B144" s="523"/>
      <c r="C144" s="523" t="s">
        <v>92</v>
      </c>
      <c r="D144" s="311">
        <v>60622</v>
      </c>
      <c r="E144" s="339"/>
      <c r="F144" s="311">
        <v>113369</v>
      </c>
      <c r="G144" s="339"/>
    </row>
    <row r="145" spans="1:7" s="516" customFormat="1">
      <c r="A145" s="520">
        <v>29</v>
      </c>
      <c r="B145" s="519"/>
      <c r="C145" s="519" t="s">
        <v>61</v>
      </c>
      <c r="D145" s="305">
        <v>2688855</v>
      </c>
      <c r="E145" s="304"/>
      <c r="F145" s="305">
        <v>2732414</v>
      </c>
      <c r="G145" s="304"/>
    </row>
    <row r="146" spans="1:7" s="516" customFormat="1">
      <c r="A146" s="518" t="s">
        <v>91</v>
      </c>
      <c r="B146" s="517"/>
      <c r="C146" s="517" t="s">
        <v>90</v>
      </c>
      <c r="D146" s="300">
        <v>2345208</v>
      </c>
      <c r="E146" s="299"/>
      <c r="F146" s="300">
        <v>2400489</v>
      </c>
      <c r="G146" s="299"/>
    </row>
    <row r="147" spans="1:7" s="512" customFormat="1">
      <c r="A147" s="515">
        <v>2</v>
      </c>
      <c r="B147" s="514"/>
      <c r="C147" s="515" t="s">
        <v>89</v>
      </c>
      <c r="D147" s="295">
        <f>D133+D145</f>
        <v>3672457</v>
      </c>
      <c r="E147" s="295">
        <f>E133+E145</f>
        <v>0</v>
      </c>
      <c r="F147" s="295">
        <f>F133+F145</f>
        <v>3817073</v>
      </c>
      <c r="G147" s="295">
        <f>G133+G145</f>
        <v>0</v>
      </c>
    </row>
    <row r="148" spans="1:7" ht="7.5" customHeight="1">
      <c r="D148" s="512"/>
      <c r="F148" s="512"/>
    </row>
    <row r="149" spans="1:7" ht="13.5" customHeight="1">
      <c r="A149" s="511" t="s">
        <v>88</v>
      </c>
      <c r="B149" s="509"/>
      <c r="C149" s="664" t="s">
        <v>87</v>
      </c>
      <c r="D149" s="509"/>
      <c r="E149" s="509"/>
      <c r="F149" s="509"/>
      <c r="G149" s="509"/>
    </row>
    <row r="150" spans="1:7">
      <c r="A150" s="658" t="s">
        <v>86</v>
      </c>
      <c r="B150" s="657"/>
      <c r="C150" s="657" t="s">
        <v>85</v>
      </c>
      <c r="D150" s="268">
        <f>D77+SUM(D8:D12)-D30-D31+D16-D33+D59+D63-D73+D64-D74-D54+D20-D35</f>
        <v>105336</v>
      </c>
      <c r="E150" s="268">
        <f>E77+SUM(E8:E12)-E30-E31+E16-E33+E59+E63-E73+E64-E74-E54+E20-E35</f>
        <v>71539</v>
      </c>
      <c r="F150" s="268">
        <f>F77+SUM(F8:F12)-F30-F31+F16-F33+F59+F63-F73+F64-F74-F54+F20-F35</f>
        <v>183380</v>
      </c>
      <c r="G150" s="268">
        <f>G77+SUM(G8:G12)-G30-G31+G16-G33+G59+G63-G73+G64-G74-G54+G20-G35</f>
        <v>79024</v>
      </c>
    </row>
    <row r="151" spans="1:7">
      <c r="A151" s="654" t="s">
        <v>84</v>
      </c>
      <c r="B151" s="653"/>
      <c r="C151" s="653" t="s">
        <v>83</v>
      </c>
      <c r="D151" s="269">
        <f>IF(D177=0,0,D150/D177)</f>
        <v>5.519412469923457E-2</v>
      </c>
      <c r="E151" s="269">
        <f>IF(E177=0,0,E150/E177)</f>
        <v>3.84485570034429E-2</v>
      </c>
      <c r="F151" s="269">
        <f>IF(F177=0,0,F150/F177)</f>
        <v>9.2532508489799631E-2</v>
      </c>
      <c r="G151" s="269">
        <f>IF(G177=0,0,G150/G177)</f>
        <v>4.1890922661566361E-2</v>
      </c>
    </row>
    <row r="152" spans="1:7" s="613" customFormat="1" ht="25.5">
      <c r="A152" s="497" t="s">
        <v>81</v>
      </c>
      <c r="B152" s="663"/>
      <c r="C152" s="663" t="s">
        <v>82</v>
      </c>
      <c r="D152" s="289">
        <f>IF(D107=0,0,D150/D107)</f>
        <v>0.6550868486352357</v>
      </c>
      <c r="E152" s="289">
        <f>IF(E107=0,0,E150/E107)</f>
        <v>0.37350548727641047</v>
      </c>
      <c r="F152" s="289">
        <f>IF(F107=0,0,F150/F107)</f>
        <v>1.4324324324324325</v>
      </c>
      <c r="G152" s="289">
        <f>IF(G107=0,0,G150/G107)</f>
        <v>0.3805286296943694</v>
      </c>
    </row>
    <row r="153" spans="1:7" s="504" customFormat="1" ht="25.5">
      <c r="A153" s="503" t="s">
        <v>81</v>
      </c>
      <c r="B153" s="662"/>
      <c r="C153" s="662" t="s">
        <v>80</v>
      </c>
      <c r="D153" s="758">
        <f>IF(0=D108,0,D150/D108)</f>
        <v>0.6824489795918367</v>
      </c>
      <c r="E153" s="758">
        <f>IF(0=E108,0,E150/E108)</f>
        <v>0.39868366789643217</v>
      </c>
      <c r="F153" s="758">
        <f>IF(0=F108,0,F150/F108)</f>
        <v>1.4507911392405064</v>
      </c>
      <c r="G153" s="758">
        <f>IF(0=G108,0,G150/G108)</f>
        <v>0.40381618146791148</v>
      </c>
    </row>
    <row r="154" spans="1:7" s="504" customFormat="1" ht="25.5">
      <c r="A154" s="508" t="s">
        <v>79</v>
      </c>
      <c r="B154" s="661"/>
      <c r="C154" s="661" t="s">
        <v>78</v>
      </c>
      <c r="D154" s="282">
        <f>D150-D107</f>
        <v>-55461</v>
      </c>
      <c r="E154" s="282">
        <f>E150-E107</f>
        <v>-119995</v>
      </c>
      <c r="F154" s="282">
        <f>F150-F107</f>
        <v>55360</v>
      </c>
      <c r="G154" s="282">
        <f>G150-G107</f>
        <v>-128645</v>
      </c>
    </row>
    <row r="155" spans="1:7" ht="25.5">
      <c r="A155" s="660" t="s">
        <v>77</v>
      </c>
      <c r="B155" s="659"/>
      <c r="C155" s="659" t="s">
        <v>76</v>
      </c>
      <c r="D155" s="279">
        <f>D150-D108</f>
        <v>-49014</v>
      </c>
      <c r="E155" s="279">
        <f>E150-E108</f>
        <v>-107899</v>
      </c>
      <c r="F155" s="279">
        <f>F150-F108</f>
        <v>56980</v>
      </c>
      <c r="G155" s="279">
        <f>G150-G108</f>
        <v>-116669</v>
      </c>
    </row>
    <row r="156" spans="1:7">
      <c r="A156" s="658" t="s">
        <v>75</v>
      </c>
      <c r="B156" s="657"/>
      <c r="C156" s="657" t="s">
        <v>74</v>
      </c>
      <c r="D156" s="277">
        <f>D135+D136-D137+D141-D142</f>
        <v>607026</v>
      </c>
      <c r="E156" s="277">
        <f>E135+E136-E137+E141-E142</f>
        <v>0</v>
      </c>
      <c r="F156" s="277">
        <f>F135+F136-F137+F141-F142</f>
        <v>638307</v>
      </c>
      <c r="G156" s="277">
        <f>G135+G136-G137+G141-G142</f>
        <v>0</v>
      </c>
    </row>
    <row r="157" spans="1:7">
      <c r="A157" s="656" t="s">
        <v>73</v>
      </c>
      <c r="B157" s="655"/>
      <c r="C157" s="655" t="s">
        <v>72</v>
      </c>
      <c r="D157" s="273">
        <f>IF(D177=0,0,D156/D177)</f>
        <v>0.31807044827672937</v>
      </c>
      <c r="E157" s="273">
        <f>IF(E177=0,0,E156/E177)</f>
        <v>0</v>
      </c>
      <c r="F157" s="273">
        <f>IF(F177=0,0,F156/F177)</f>
        <v>0.32208609388482129</v>
      </c>
      <c r="G157" s="273">
        <f>IF(G177=0,0,G156/G177)</f>
        <v>0</v>
      </c>
    </row>
    <row r="158" spans="1:7">
      <c r="A158" s="658" t="s">
        <v>71</v>
      </c>
      <c r="B158" s="657"/>
      <c r="C158" s="657" t="s">
        <v>70</v>
      </c>
      <c r="D158" s="277">
        <f>D133-D142-D111</f>
        <v>-1655513</v>
      </c>
      <c r="E158" s="277">
        <f>E133-E142-E111</f>
        <v>0</v>
      </c>
      <c r="F158" s="277">
        <f>F133-F142-F111</f>
        <v>-1709354</v>
      </c>
      <c r="G158" s="277">
        <f>G133-G142-G111</f>
        <v>0</v>
      </c>
    </row>
    <row r="159" spans="1:7">
      <c r="A159" s="654" t="s">
        <v>69</v>
      </c>
      <c r="B159" s="653"/>
      <c r="C159" s="653" t="s">
        <v>68</v>
      </c>
      <c r="D159" s="265">
        <f>D121-D123-D124-D142-D145</f>
        <v>-2155565</v>
      </c>
      <c r="E159" s="265">
        <f>E121-E123-E124-E142-E145</f>
        <v>0</v>
      </c>
      <c r="F159" s="265">
        <f>F121-F123-F124-F142-F145</f>
        <v>-2209425</v>
      </c>
      <c r="G159" s="265">
        <f>G121-G123-G124-G142-G145</f>
        <v>0</v>
      </c>
    </row>
    <row r="160" spans="1:7">
      <c r="A160" s="654" t="s">
        <v>66</v>
      </c>
      <c r="B160" s="653"/>
      <c r="C160" s="653" t="s">
        <v>67</v>
      </c>
      <c r="D160" s="276">
        <f>IF(D175=0,"-",1000*D158/D175)</f>
        <v>-8491.5956688329334</v>
      </c>
      <c r="E160" s="276">
        <f>IF(E175=0,"-",1000*E158/E175)</f>
        <v>0</v>
      </c>
      <c r="F160" s="276">
        <f>IF(F175=0,"-",1000*F158/F175)</f>
        <v>-8747.9733879222113</v>
      </c>
      <c r="G160" s="276">
        <f>IF(G175=0,"-",1000*G158/G175)</f>
        <v>0</v>
      </c>
    </row>
    <row r="161" spans="1:7">
      <c r="A161" s="654" t="s">
        <v>66</v>
      </c>
      <c r="B161" s="653"/>
      <c r="C161" s="653" t="s">
        <v>65</v>
      </c>
      <c r="D161" s="265">
        <f>IF(D175=0,0,1000*(D159/D175))</f>
        <v>-11056.504188060053</v>
      </c>
      <c r="E161" s="265">
        <f>IF(E175=0,0,1000*(E159/E175))</f>
        <v>0</v>
      </c>
      <c r="F161" s="265">
        <f>IF(F175=0,0,1000*(F159/F175))</f>
        <v>-11307.190378710338</v>
      </c>
      <c r="G161" s="265">
        <f>IF(G175=0,0,1000*(G159/G175))</f>
        <v>0</v>
      </c>
    </row>
    <row r="162" spans="1:7">
      <c r="A162" s="656" t="s">
        <v>64</v>
      </c>
      <c r="B162" s="655"/>
      <c r="C162" s="655" t="s">
        <v>63</v>
      </c>
      <c r="D162" s="273">
        <f>IF((D22+D23+D65+D66)=0,0,D158/(D22+D23+D65+D66))</f>
        <v>-2.3499220010873008</v>
      </c>
      <c r="E162" s="273">
        <f>IF((E22+E23+E65+E66)=0,0,E158/(E22+E23+E65+E66))</f>
        <v>0</v>
      </c>
      <c r="F162" s="273">
        <f>IF((F22+F23+F65+F66)=0,0,F158/(F22+F23+F65+F66))</f>
        <v>-2.2454538647568278</v>
      </c>
      <c r="G162" s="273">
        <f>IF((G22+G23+G65+G66)=0,0,G158/(G22+G23+G65+G66))</f>
        <v>0</v>
      </c>
    </row>
    <row r="163" spans="1:7">
      <c r="A163" s="654" t="s">
        <v>62</v>
      </c>
      <c r="B163" s="653"/>
      <c r="C163" s="653" t="s">
        <v>61</v>
      </c>
      <c r="D163" s="268">
        <f>D145</f>
        <v>2688855</v>
      </c>
      <c r="E163" s="268">
        <f>E145</f>
        <v>0</v>
      </c>
      <c r="F163" s="268">
        <f>F145</f>
        <v>2732414</v>
      </c>
      <c r="G163" s="268">
        <f>G145</f>
        <v>0</v>
      </c>
    </row>
    <row r="164" spans="1:7" ht="25.5">
      <c r="A164" s="497" t="s">
        <v>60</v>
      </c>
      <c r="B164" s="655"/>
      <c r="C164" s="655" t="s">
        <v>59</v>
      </c>
      <c r="D164" s="274">
        <f>IF(D178=0,0,D146/D178)</f>
        <v>1.2076176666261589</v>
      </c>
      <c r="E164" s="274">
        <f>IF(E178=0,0,E146/E178)</f>
        <v>0</v>
      </c>
      <c r="F164" s="274">
        <f>IF(F178=0,0,F146/F178)</f>
        <v>1.2418386435262689</v>
      </c>
      <c r="G164" s="274">
        <f>IF(G178=0,0,G146/G178)</f>
        <v>0</v>
      </c>
    </row>
    <row r="165" spans="1:7">
      <c r="A165" s="652" t="s">
        <v>58</v>
      </c>
      <c r="B165" s="651"/>
      <c r="C165" s="651" t="s">
        <v>57</v>
      </c>
      <c r="D165" s="262">
        <f>IF(D177=0,0,D180/D177)</f>
        <v>7.8823074472455332E-2</v>
      </c>
      <c r="E165" s="262">
        <f>IF(E177=0,0,E180/E177)</f>
        <v>9.3403782135413477E-2</v>
      </c>
      <c r="F165" s="262">
        <f>IF(F177=0,0,F180/F177)</f>
        <v>6.7876515675222904E-2</v>
      </c>
      <c r="G165" s="262">
        <f>IF(G177=0,0,G180/G177)</f>
        <v>9.6178322677363454E-2</v>
      </c>
    </row>
    <row r="166" spans="1:7">
      <c r="A166" s="654" t="s">
        <v>56</v>
      </c>
      <c r="B166" s="653"/>
      <c r="C166" s="653" t="s">
        <v>55</v>
      </c>
      <c r="D166" s="268">
        <f>D55</f>
        <v>105619</v>
      </c>
      <c r="E166" s="268">
        <f>E55</f>
        <v>98177</v>
      </c>
      <c r="F166" s="268">
        <f>F55</f>
        <v>101089</v>
      </c>
      <c r="G166" s="268">
        <f>G55</f>
        <v>97948</v>
      </c>
    </row>
    <row r="167" spans="1:7">
      <c r="A167" s="656" t="s">
        <v>54</v>
      </c>
      <c r="B167" s="655"/>
      <c r="C167" s="655" t="s">
        <v>53</v>
      </c>
      <c r="D167" s="273">
        <f>IF(0=D111,0,(D44+D45+D46+D47+D48)/D111)</f>
        <v>1.199493011861931E-2</v>
      </c>
      <c r="E167" s="273">
        <f>IF(0=E111,0,(E44+E45+E46+E47+E48)/E111)</f>
        <v>0</v>
      </c>
      <c r="F167" s="273">
        <f>IF(0=F111,0,(F44+F45+F46+F47+F48)/F111)</f>
        <v>1.0640251136984689E-2</v>
      </c>
      <c r="G167" s="273">
        <f>IF(0=G111,0,(G44+G45+G46+G47+G48)/G111)</f>
        <v>0</v>
      </c>
    </row>
    <row r="168" spans="1:7">
      <c r="A168" s="654" t="s">
        <v>52</v>
      </c>
      <c r="B168" s="657"/>
      <c r="C168" s="657" t="s">
        <v>51</v>
      </c>
      <c r="D168" s="268">
        <f>D38-D44</f>
        <v>-5199</v>
      </c>
      <c r="E168" s="268">
        <f>E38-E44</f>
        <v>-4511</v>
      </c>
      <c r="F168" s="268">
        <f>F38-F44</f>
        <v>-5326</v>
      </c>
      <c r="G168" s="268">
        <f>G38-G44</f>
        <v>-3240</v>
      </c>
    </row>
    <row r="169" spans="1:7">
      <c r="A169" s="656" t="s">
        <v>50</v>
      </c>
      <c r="B169" s="655"/>
      <c r="C169" s="655" t="s">
        <v>49</v>
      </c>
      <c r="D169" s="269">
        <f>IF(D177=0,0,D168/D177)</f>
        <v>-2.7241802832015695E-3</v>
      </c>
      <c r="E169" s="269">
        <f>IF(E177=0,0,E168/E177)</f>
        <v>-2.4244319971278732E-3</v>
      </c>
      <c r="F169" s="269">
        <f>IF(F177=0,0,F168/F177)</f>
        <v>-2.6874694089686598E-3</v>
      </c>
      <c r="G169" s="269">
        <f>IF(G177=0,0,G168/G177)</f>
        <v>-1.7175363107850149E-3</v>
      </c>
    </row>
    <row r="170" spans="1:7">
      <c r="A170" s="654" t="s">
        <v>48</v>
      </c>
      <c r="B170" s="653"/>
      <c r="C170" s="653" t="s">
        <v>47</v>
      </c>
      <c r="D170" s="268">
        <f>SUM(D82:D87)+SUM(D89:D94)</f>
        <v>279156</v>
      </c>
      <c r="E170" s="268">
        <f>SUM(E82:E87)+SUM(E89:E94)</f>
        <v>319586</v>
      </c>
      <c r="F170" s="268">
        <f>SUM(F82:F87)+SUM(F89:F94)</f>
        <v>264198</v>
      </c>
      <c r="G170" s="268">
        <f>SUM(G82:G87)+SUM(G89:G94)</f>
        <v>340270</v>
      </c>
    </row>
    <row r="171" spans="1:7">
      <c r="A171" s="654" t="s">
        <v>46</v>
      </c>
      <c r="B171" s="653"/>
      <c r="C171" s="653" t="s">
        <v>45</v>
      </c>
      <c r="D171" s="265">
        <f>SUM(D96:D102)+SUM(D104:D105)</f>
        <v>118359</v>
      </c>
      <c r="E171" s="265">
        <f>SUM(E96:E102)+SUM(E104:E105)</f>
        <v>128052</v>
      </c>
      <c r="F171" s="265">
        <f>SUM(F96:F102)+SUM(F104:F105)</f>
        <v>136178</v>
      </c>
      <c r="G171" s="265">
        <f>SUM(G96:G102)+SUM(G104:G105)</f>
        <v>132601</v>
      </c>
    </row>
    <row r="172" spans="1:7">
      <c r="A172" s="652" t="s">
        <v>44</v>
      </c>
      <c r="B172" s="651"/>
      <c r="C172" s="651" t="s">
        <v>43</v>
      </c>
      <c r="D172" s="262">
        <f>IF(D184=0,0,D170/D184)</f>
        <v>0.14262292820572819</v>
      </c>
      <c r="E172" s="262">
        <f>IF(E184=0,0,E170/E184)</f>
        <v>0.15538450841937956</v>
      </c>
      <c r="F172" s="262">
        <f>IF(F184=0,0,F170/F184)</f>
        <v>0.13403690558088849</v>
      </c>
      <c r="G172" s="262">
        <f>IF(G184=0,0,G170/G184)</f>
        <v>0.16194696162046909</v>
      </c>
    </row>
    <row r="173" spans="1:7">
      <c r="A173" s="678"/>
    </row>
    <row r="174" spans="1:7">
      <c r="A174" s="479" t="s">
        <v>42</v>
      </c>
      <c r="B174" s="477"/>
      <c r="C174" s="649"/>
      <c r="D174" s="260"/>
      <c r="E174" s="260"/>
      <c r="F174" s="260"/>
      <c r="G174" s="260"/>
    </row>
    <row r="175" spans="1:7" s="480" customFormat="1">
      <c r="A175" s="478" t="s">
        <v>41</v>
      </c>
      <c r="B175" s="477"/>
      <c r="C175" s="477" t="s">
        <v>40</v>
      </c>
      <c r="D175" s="257">
        <v>194959</v>
      </c>
      <c r="E175" s="650">
        <v>193389</v>
      </c>
      <c r="F175" s="257">
        <v>195400</v>
      </c>
      <c r="G175" s="650">
        <v>195400</v>
      </c>
    </row>
    <row r="176" spans="1:7">
      <c r="A176" s="479" t="s">
        <v>39</v>
      </c>
      <c r="B176" s="477"/>
      <c r="C176" s="477"/>
      <c r="D176" s="477"/>
      <c r="E176" s="477"/>
      <c r="F176" s="477"/>
      <c r="G176" s="477"/>
    </row>
    <row r="177" spans="1:7">
      <c r="A177" s="478" t="s">
        <v>38</v>
      </c>
      <c r="B177" s="477"/>
      <c r="C177" s="477" t="s">
        <v>37</v>
      </c>
      <c r="D177" s="475">
        <f>SUM(D22:D32)+SUM(D44:D53)+SUM(D65:D72)+D75</f>
        <v>1908464</v>
      </c>
      <c r="E177" s="475">
        <f>SUM(E22:E32)+SUM(E44:E53)+SUM(E65:E72)+E75</f>
        <v>1860642</v>
      </c>
      <c r="F177" s="475">
        <f>SUM(F22:F32)+SUM(F44:F53)+SUM(F65:F72)+F75</f>
        <v>1981790</v>
      </c>
      <c r="G177" s="475">
        <f>SUM(G22:G32)+SUM(G44:G53)+SUM(G65:G72)+G75</f>
        <v>1886423</v>
      </c>
    </row>
    <row r="178" spans="1:7">
      <c r="A178" s="478" t="s">
        <v>36</v>
      </c>
      <c r="B178" s="477"/>
      <c r="C178" s="477" t="s">
        <v>35</v>
      </c>
      <c r="D178" s="475">
        <f>D78-D17-D20-D59-D63-D64</f>
        <v>1942012</v>
      </c>
      <c r="E178" s="475">
        <f>E78-E17-E20-E59-E63-E64</f>
        <v>1919051</v>
      </c>
      <c r="F178" s="475">
        <f>F78-F17-F20-F59-F63-F64</f>
        <v>1933012</v>
      </c>
      <c r="G178" s="475">
        <f>G78-G17-G20-G59-G63-G64</f>
        <v>1949340</v>
      </c>
    </row>
    <row r="179" spans="1:7">
      <c r="A179" s="478"/>
      <c r="B179" s="477"/>
      <c r="C179" s="477" t="s">
        <v>34</v>
      </c>
      <c r="D179" s="475">
        <f>D178+D170</f>
        <v>2221168</v>
      </c>
      <c r="E179" s="475">
        <f>E178+E170</f>
        <v>2238637</v>
      </c>
      <c r="F179" s="475">
        <f>F178+F170</f>
        <v>2197210</v>
      </c>
      <c r="G179" s="475">
        <f>G178+G170</f>
        <v>2289610</v>
      </c>
    </row>
    <row r="180" spans="1:7">
      <c r="A180" s="478" t="s">
        <v>33</v>
      </c>
      <c r="B180" s="477"/>
      <c r="C180" s="477" t="s">
        <v>32</v>
      </c>
      <c r="D180" s="475">
        <f>D38-D44+D8+D9+D10+D16-D33</f>
        <v>150431</v>
      </c>
      <c r="E180" s="475">
        <f>E38-E44+E8+E9+E10+E16-E33</f>
        <v>173791</v>
      </c>
      <c r="F180" s="475">
        <f>F38-F44+F8+F9+F10+F16-F33</f>
        <v>134517</v>
      </c>
      <c r="G180" s="475">
        <f>G38-G44+G8+G9+G10+G16-G33</f>
        <v>181433</v>
      </c>
    </row>
    <row r="181" spans="1:7" ht="27.6" customHeight="1">
      <c r="A181" s="474" t="s">
        <v>31</v>
      </c>
      <c r="B181" s="472"/>
      <c r="C181" s="472" t="s">
        <v>30</v>
      </c>
      <c r="D181" s="249">
        <f>D22+D23+D24+D25+D26+D29+SUM(D44:D47)+SUM(D49:D53)-D54+D32-D33+SUM(D65:D70)+D72</f>
        <v>1885330</v>
      </c>
      <c r="E181" s="249">
        <f>E22+E23+E24+E25+E26+E29+SUM(E44:E47)+SUM(E49:E53)-E54+E32-E33+SUM(E65:E70)+E72</f>
        <v>1807196</v>
      </c>
      <c r="F181" s="249">
        <f>F22+F23+F24+F25+F26+F29+SUM(F44:F47)+SUM(F49:F53)-F54+F32-F33+SUM(F65:F70)+F72</f>
        <v>1953484</v>
      </c>
      <c r="G181" s="249">
        <f>G22+G23+G24+G25+G26+G29+SUM(G44:G47)+SUM(G49:G53)-G54+G32-G33+SUM(G65:G70)+G72</f>
        <v>1838674</v>
      </c>
    </row>
    <row r="182" spans="1:7">
      <c r="A182" s="473" t="s">
        <v>29</v>
      </c>
      <c r="B182" s="472"/>
      <c r="C182" s="472" t="s">
        <v>28</v>
      </c>
      <c r="D182" s="249">
        <f>D181+D171</f>
        <v>2003689</v>
      </c>
      <c r="E182" s="249">
        <f>E181+E171</f>
        <v>1935248</v>
      </c>
      <c r="F182" s="249">
        <f>F181+F171</f>
        <v>2089662</v>
      </c>
      <c r="G182" s="249">
        <f>G181+G171</f>
        <v>1971275</v>
      </c>
    </row>
    <row r="183" spans="1:7">
      <c r="A183" s="473" t="s">
        <v>27</v>
      </c>
      <c r="B183" s="472"/>
      <c r="C183" s="472" t="s">
        <v>26</v>
      </c>
      <c r="D183" s="249">
        <f>D4+D5-D7+D38+D39+D40+D41+D43+D13-D16+D57+D58+D60+D62</f>
        <v>1678145</v>
      </c>
      <c r="E183" s="249">
        <f>E4+E5-E7+E38+E39+E40+E41+E43+E13-E16+E57+E58+E60+E62</f>
        <v>1737157</v>
      </c>
      <c r="F183" s="249">
        <f>F4+F5-F7+F38+F39+F40+F41+F43+F13-F16+F57+F58+F60+F62</f>
        <v>1706886</v>
      </c>
      <c r="G183" s="249">
        <f>G4+G5-G7+G38+G39+G40+G41+G43+G13-G16+G57+G58+G60+G62</f>
        <v>1760850</v>
      </c>
    </row>
    <row r="184" spans="1:7">
      <c r="A184" s="473" t="s">
        <v>25</v>
      </c>
      <c r="B184" s="472"/>
      <c r="C184" s="472" t="s">
        <v>24</v>
      </c>
      <c r="D184" s="249">
        <f>D183+D170</f>
        <v>1957301</v>
      </c>
      <c r="E184" s="249">
        <f>E183+E170</f>
        <v>2056743</v>
      </c>
      <c r="F184" s="249">
        <f>F183+F170</f>
        <v>1971084</v>
      </c>
      <c r="G184" s="249">
        <f>G183+G170</f>
        <v>2101120</v>
      </c>
    </row>
    <row r="185" spans="1:7">
      <c r="A185" s="473"/>
      <c r="B185" s="472"/>
      <c r="C185" s="472" t="s">
        <v>23</v>
      </c>
      <c r="D185" s="249">
        <f t="shared" ref="D185:G186" si="0">D181-D183</f>
        <v>207185</v>
      </c>
      <c r="E185" s="249">
        <f t="shared" si="0"/>
        <v>70039</v>
      </c>
      <c r="F185" s="249">
        <f t="shared" si="0"/>
        <v>246598</v>
      </c>
      <c r="G185" s="249">
        <f t="shared" si="0"/>
        <v>77824</v>
      </c>
    </row>
    <row r="186" spans="1:7">
      <c r="A186" s="473"/>
      <c r="B186" s="472"/>
      <c r="C186" s="472" t="s">
        <v>22</v>
      </c>
      <c r="D186" s="249">
        <f t="shared" si="0"/>
        <v>46388</v>
      </c>
      <c r="E186" s="249">
        <f t="shared" si="0"/>
        <v>-121495</v>
      </c>
      <c r="F186" s="249">
        <f t="shared" si="0"/>
        <v>118578</v>
      </c>
      <c r="G186" s="249">
        <f t="shared" si="0"/>
        <v>-129845</v>
      </c>
    </row>
  </sheetData>
  <sheetProtection selectLockedCells="1" sort="0" autoFilter="0" pivotTables="0"/>
  <autoFilter ref="A1:G1"/>
  <mergeCells count="2">
    <mergeCell ref="A3:C3"/>
    <mergeCell ref="A81:C81"/>
  </mergeCells>
  <pageMargins left="0.23622047244094491" right="0.23622047244094491" top="0.74803149606299213" bottom="0.74803149606299213" header="0.31496062992125984" footer="0.31496062992125984"/>
  <pageSetup paperSize="9" orientation="landscape" r:id="rId1"/>
  <headerFooter alignWithMargins="0">
    <oddHeader>&amp;LFachgruppe für kantonale Finanzfragen (FkF)
Groupe d'études pour les finances cantonales
&amp;CKanton VD&amp;RZürich, 11.05.2015</oddHeader>
    <oddFooter>&amp;L&amp;F / &amp;A</oddFooter>
  </headerFooter>
  <rowBreaks count="2" manualBreakCount="2">
    <brk id="79" max="16383" man="1"/>
    <brk id="148" max="16383" man="1"/>
  </rowBreaks>
  <legacy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2"/>
  <dimension ref="A1:I43"/>
  <sheetViews>
    <sheetView zoomScaleNormal="100" workbookViewId="0">
      <selection activeCell="P49" sqref="P49"/>
    </sheetView>
  </sheetViews>
  <sheetFormatPr baseColWidth="10" defaultRowHeight="12.75"/>
  <cols>
    <col min="1" max="1" width="10.42578125" customWidth="1"/>
    <col min="2" max="2" width="52.42578125" bestFit="1" customWidth="1"/>
    <col min="3" max="3" width="12.28515625" bestFit="1" customWidth="1"/>
    <col min="4" max="4" width="11.5703125" bestFit="1" customWidth="1"/>
    <col min="5" max="5" width="12.28515625" bestFit="1" customWidth="1"/>
    <col min="6" max="6" width="11.5703125" bestFit="1" customWidth="1"/>
    <col min="7" max="7" width="12.28515625" bestFit="1" customWidth="1"/>
    <col min="8" max="8" width="11.5703125" style="65" bestFit="1" customWidth="1"/>
    <col min="9" max="9" width="12.28515625" bestFit="1" customWidth="1"/>
  </cols>
  <sheetData>
    <row r="1" spans="1:9">
      <c r="A1" s="5" t="s">
        <v>2</v>
      </c>
      <c r="B1" s="6" t="s">
        <v>256</v>
      </c>
      <c r="C1" s="54" t="s">
        <v>255</v>
      </c>
      <c r="D1" s="7" t="s">
        <v>530</v>
      </c>
      <c r="E1" s="54" t="s">
        <v>254</v>
      </c>
      <c r="F1" s="7" t="s">
        <v>530</v>
      </c>
      <c r="G1" s="54" t="s">
        <v>255</v>
      </c>
      <c r="H1" s="7" t="s">
        <v>530</v>
      </c>
      <c r="I1" s="55" t="s">
        <v>254</v>
      </c>
    </row>
    <row r="2" spans="1:9">
      <c r="A2" s="112">
        <v>0</v>
      </c>
      <c r="B2" s="115" t="e">
        <v>#REF!</v>
      </c>
      <c r="C2" s="62">
        <v>2013</v>
      </c>
      <c r="D2" s="3" t="s">
        <v>531</v>
      </c>
      <c r="E2" s="62">
        <v>2014</v>
      </c>
      <c r="F2" s="3" t="s">
        <v>531</v>
      </c>
      <c r="G2" s="63">
        <v>2014</v>
      </c>
      <c r="H2" s="3" t="s">
        <v>531</v>
      </c>
      <c r="I2" s="64">
        <v>2015</v>
      </c>
    </row>
    <row r="3" spans="1:9">
      <c r="A3" s="112">
        <v>0</v>
      </c>
      <c r="B3" s="2" t="s">
        <v>532</v>
      </c>
      <c r="C3" s="114">
        <v>0</v>
      </c>
      <c r="D3" s="113">
        <v>0</v>
      </c>
      <c r="E3" s="114" t="s">
        <v>604</v>
      </c>
      <c r="F3" s="115">
        <v>0</v>
      </c>
      <c r="G3" s="116" t="s">
        <v>604</v>
      </c>
      <c r="H3" s="113">
        <v>0</v>
      </c>
      <c r="I3" s="105" t="s">
        <v>604</v>
      </c>
    </row>
    <row r="4" spans="1:9">
      <c r="A4" s="5" t="s">
        <v>533</v>
      </c>
      <c r="B4" s="9" t="s">
        <v>250</v>
      </c>
      <c r="C4" s="10">
        <v>1623449.7</v>
      </c>
      <c r="D4" s="11">
        <v>3.9257760804046141E-3</v>
      </c>
      <c r="E4" s="10">
        <v>1629823</v>
      </c>
      <c r="F4" s="11">
        <v>1.3703096287142485E-3</v>
      </c>
      <c r="G4" s="10">
        <v>1632056.3621499999</v>
      </c>
      <c r="H4" s="241">
        <v>-1.4864284538581515E-2</v>
      </c>
      <c r="I4" s="12">
        <v>1607797.0120000001</v>
      </c>
    </row>
    <row r="5" spans="1:9">
      <c r="A5" s="13" t="s">
        <v>534</v>
      </c>
      <c r="B5" s="14" t="s">
        <v>535</v>
      </c>
      <c r="C5" s="15">
        <v>310293.2</v>
      </c>
      <c r="D5" s="16">
        <v>0.18592028442776054</v>
      </c>
      <c r="E5" s="15">
        <v>367983</v>
      </c>
      <c r="F5" s="16">
        <v>1.5662732408834121E-2</v>
      </c>
      <c r="G5" s="15">
        <v>373746.61926000001</v>
      </c>
      <c r="H5" s="41">
        <v>-5.1519884348719264E-3</v>
      </c>
      <c r="I5" s="17">
        <v>371821.08100000001</v>
      </c>
    </row>
    <row r="6" spans="1:9">
      <c r="A6" s="13" t="s">
        <v>248</v>
      </c>
      <c r="B6" s="14" t="s">
        <v>536</v>
      </c>
      <c r="C6" s="15">
        <v>30336.6</v>
      </c>
      <c r="D6" s="16">
        <v>-0.17170678322554275</v>
      </c>
      <c r="E6" s="15">
        <v>25127.599999999999</v>
      </c>
      <c r="F6" s="16">
        <v>0.12383719814068991</v>
      </c>
      <c r="G6" s="15">
        <v>28239.331579999998</v>
      </c>
      <c r="H6" s="41">
        <v>4.2956697348287706E-2</v>
      </c>
      <c r="I6" s="17">
        <v>29452.400000000001</v>
      </c>
    </row>
    <row r="7" spans="1:9">
      <c r="A7" s="13" t="s">
        <v>537</v>
      </c>
      <c r="B7" s="14" t="s">
        <v>538</v>
      </c>
      <c r="C7" s="15">
        <v>48680.3</v>
      </c>
      <c r="D7" s="16">
        <v>-0.12757316614729167</v>
      </c>
      <c r="E7" s="15">
        <v>42470</v>
      </c>
      <c r="F7" s="16">
        <v>-0.10855416317400521</v>
      </c>
      <c r="G7" s="15">
        <v>37859.704689999999</v>
      </c>
      <c r="H7" s="41">
        <v>-0.20257169866477365</v>
      </c>
      <c r="I7" s="17">
        <v>30190.400000000001</v>
      </c>
    </row>
    <row r="8" spans="1:9">
      <c r="A8" s="13" t="s">
        <v>539</v>
      </c>
      <c r="B8" s="14" t="s">
        <v>540</v>
      </c>
      <c r="C8" s="15">
        <v>17209.8</v>
      </c>
      <c r="D8" s="16">
        <v>-1</v>
      </c>
      <c r="E8" s="15">
        <v>0</v>
      </c>
      <c r="F8" s="16" t="s">
        <v>555</v>
      </c>
      <c r="G8" s="15">
        <v>0</v>
      </c>
      <c r="H8" s="41" t="s">
        <v>555</v>
      </c>
      <c r="I8" s="17">
        <v>0</v>
      </c>
    </row>
    <row r="9" spans="1:9">
      <c r="A9" s="13" t="s">
        <v>541</v>
      </c>
      <c r="B9" s="14" t="s">
        <v>542</v>
      </c>
      <c r="C9" s="15">
        <v>217040.9</v>
      </c>
      <c r="D9" s="16">
        <v>-0.19927672618386666</v>
      </c>
      <c r="E9" s="15">
        <v>173789.7</v>
      </c>
      <c r="F9" s="16">
        <v>5.2411938682210401E-3</v>
      </c>
      <c r="G9" s="15">
        <v>174700.56550999999</v>
      </c>
      <c r="H9" s="41">
        <v>0.32685429416501494</v>
      </c>
      <c r="I9" s="17">
        <v>231802.19553999999</v>
      </c>
    </row>
    <row r="10" spans="1:9">
      <c r="A10" s="13" t="s">
        <v>543</v>
      </c>
      <c r="B10" s="14" t="s">
        <v>544</v>
      </c>
      <c r="C10" s="15">
        <v>2393624.7000000002</v>
      </c>
      <c r="D10" s="16">
        <v>6.5513444943979759E-2</v>
      </c>
      <c r="E10" s="15">
        <v>2550439.3000000003</v>
      </c>
      <c r="F10" s="16">
        <v>-1.392542187536094E-2</v>
      </c>
      <c r="G10" s="15">
        <v>2514923.35678</v>
      </c>
      <c r="H10" s="41">
        <v>2.0072620536887482E-2</v>
      </c>
      <c r="I10" s="17">
        <v>2565404.4590000003</v>
      </c>
    </row>
    <row r="11" spans="1:9">
      <c r="A11" s="13" t="s">
        <v>545</v>
      </c>
      <c r="B11" s="14" t="s">
        <v>546</v>
      </c>
      <c r="C11" s="15">
        <v>254152.7</v>
      </c>
      <c r="D11" s="41">
        <v>2.0937920391953337</v>
      </c>
      <c r="E11" s="15">
        <v>786295.6</v>
      </c>
      <c r="F11" s="16">
        <v>-5.3008163075057298E-2</v>
      </c>
      <c r="G11" s="15">
        <v>744615.51460999995</v>
      </c>
      <c r="H11" s="41">
        <v>3.1819978129800086E-2</v>
      </c>
      <c r="I11" s="17">
        <v>768309.16399999999</v>
      </c>
    </row>
    <row r="12" spans="1:9">
      <c r="A12" s="13" t="s">
        <v>547</v>
      </c>
      <c r="B12" s="14" t="s">
        <v>548</v>
      </c>
      <c r="C12" s="15">
        <v>325866.7</v>
      </c>
      <c r="D12" s="41">
        <v>-0.99871112942807594</v>
      </c>
      <c r="E12" s="15">
        <v>420</v>
      </c>
      <c r="F12" s="16">
        <v>50.525691904761906</v>
      </c>
      <c r="G12" s="15">
        <v>21640.7906</v>
      </c>
      <c r="H12" s="41">
        <v>-0.97689548366130396</v>
      </c>
      <c r="I12" s="17">
        <v>500</v>
      </c>
    </row>
    <row r="13" spans="1:9">
      <c r="A13" s="13" t="s">
        <v>549</v>
      </c>
      <c r="B13" s="14" t="s">
        <v>550</v>
      </c>
      <c r="C13" s="15">
        <v>601819</v>
      </c>
      <c r="D13" s="41">
        <v>-1</v>
      </c>
      <c r="E13" s="15">
        <v>0</v>
      </c>
      <c r="F13" s="41" t="s">
        <v>555</v>
      </c>
      <c r="G13" s="15">
        <v>0</v>
      </c>
      <c r="H13" s="41" t="s">
        <v>555</v>
      </c>
      <c r="I13" s="17">
        <v>0</v>
      </c>
    </row>
    <row r="14" spans="1:9">
      <c r="A14" s="13" t="s">
        <v>551</v>
      </c>
      <c r="B14" s="14" t="s">
        <v>552</v>
      </c>
      <c r="C14" s="15">
        <v>56368.1</v>
      </c>
      <c r="D14" s="41">
        <v>6.4431832898394686E-2</v>
      </c>
      <c r="E14" s="15">
        <v>60000</v>
      </c>
      <c r="F14" s="16">
        <v>-3.6515661333333387E-2</v>
      </c>
      <c r="G14" s="15">
        <v>57809.060319999997</v>
      </c>
      <c r="H14" s="41">
        <v>0.30100713596930517</v>
      </c>
      <c r="I14" s="17">
        <v>75210</v>
      </c>
    </row>
    <row r="15" spans="1:9">
      <c r="A15" s="13" t="s">
        <v>553</v>
      </c>
      <c r="B15" s="14" t="s">
        <v>554</v>
      </c>
      <c r="C15" s="15">
        <v>0</v>
      </c>
      <c r="D15" s="41" t="s">
        <v>555</v>
      </c>
      <c r="E15" s="15">
        <v>209309.9</v>
      </c>
      <c r="F15" s="16">
        <v>-0.22470562314539344</v>
      </c>
      <c r="G15" s="15">
        <v>162276.78849000001</v>
      </c>
      <c r="H15" s="41">
        <v>0.16085794988239221</v>
      </c>
      <c r="I15" s="17">
        <v>188380.3</v>
      </c>
    </row>
    <row r="16" spans="1:9">
      <c r="A16" s="13" t="s">
        <v>556</v>
      </c>
      <c r="B16" s="14" t="s">
        <v>557</v>
      </c>
      <c r="C16" s="15">
        <v>0</v>
      </c>
      <c r="D16" s="41" t="s">
        <v>555</v>
      </c>
      <c r="E16" s="15">
        <v>0</v>
      </c>
      <c r="F16" s="41" t="s">
        <v>555</v>
      </c>
      <c r="G16" s="15">
        <v>0</v>
      </c>
      <c r="H16" s="41" t="s">
        <v>555</v>
      </c>
      <c r="I16" s="17">
        <v>0</v>
      </c>
    </row>
    <row r="17" spans="1:9">
      <c r="A17" s="13" t="s">
        <v>558</v>
      </c>
      <c r="B17" s="14" t="s">
        <v>559</v>
      </c>
      <c r="C17" s="15">
        <v>60693.2</v>
      </c>
      <c r="D17" s="16">
        <v>-0.54362926983583004</v>
      </c>
      <c r="E17" s="15">
        <v>27698.6</v>
      </c>
      <c r="F17" s="16">
        <v>0.91437396872044086</v>
      </c>
      <c r="G17" s="15">
        <v>53025.478810000001</v>
      </c>
      <c r="H17" s="41">
        <v>2.2453113910882192</v>
      </c>
      <c r="I17" s="17">
        <v>172084.19039999999</v>
      </c>
    </row>
    <row r="18" spans="1:9">
      <c r="A18" s="13">
        <v>389</v>
      </c>
      <c r="B18" s="14" t="s">
        <v>182</v>
      </c>
      <c r="C18" s="15">
        <v>0</v>
      </c>
      <c r="D18" s="41" t="s">
        <v>555</v>
      </c>
      <c r="E18" s="15">
        <v>0</v>
      </c>
      <c r="F18" s="41" t="s">
        <v>555</v>
      </c>
      <c r="G18" s="15">
        <v>0</v>
      </c>
      <c r="H18" s="41" t="s">
        <v>555</v>
      </c>
      <c r="I18" s="17">
        <v>0</v>
      </c>
    </row>
    <row r="19" spans="1:9">
      <c r="A19" s="18" t="s">
        <v>560</v>
      </c>
      <c r="B19" s="19" t="s">
        <v>561</v>
      </c>
      <c r="C19" s="20">
        <v>208133.1</v>
      </c>
      <c r="D19" s="41">
        <v>6.8240467277910166E-2</v>
      </c>
      <c r="E19" s="20">
        <v>222336.2</v>
      </c>
      <c r="F19" s="41">
        <v>-9.1875364425586123E-2</v>
      </c>
      <c r="G19" s="20">
        <v>201908.98060000001</v>
      </c>
      <c r="H19" s="41">
        <v>0.12463595886234688</v>
      </c>
      <c r="I19" s="21">
        <v>227074.1</v>
      </c>
    </row>
    <row r="20" spans="1:9">
      <c r="A20" s="22" t="s">
        <v>562</v>
      </c>
      <c r="B20" s="23" t="s">
        <v>563</v>
      </c>
      <c r="C20" s="24">
        <v>4879124.8999999994</v>
      </c>
      <c r="D20" s="25">
        <v>2.775393185773976E-2</v>
      </c>
      <c r="E20" s="24">
        <v>5014539.8000000007</v>
      </c>
      <c r="F20" s="25">
        <v>-5.248484058297918E-3</v>
      </c>
      <c r="G20" s="24">
        <v>4988221.0678000003</v>
      </c>
      <c r="H20" s="242">
        <v>4.36934063622254E-2</v>
      </c>
      <c r="I20" s="26">
        <v>5206173.4379399996</v>
      </c>
    </row>
    <row r="21" spans="1:9">
      <c r="A21" s="27" t="s">
        <v>564</v>
      </c>
      <c r="B21" s="28" t="s">
        <v>565</v>
      </c>
      <c r="C21" s="10">
        <v>2104806.7999999998</v>
      </c>
      <c r="D21" s="16">
        <v>-1.5111505721095075E-2</v>
      </c>
      <c r="E21" s="10">
        <v>2073000</v>
      </c>
      <c r="F21" s="16">
        <v>-1.0098870877954648E-2</v>
      </c>
      <c r="G21" s="10">
        <v>2052065.04067</v>
      </c>
      <c r="H21" s="41">
        <v>2.5552289177383943E-2</v>
      </c>
      <c r="I21" s="12">
        <v>2104500</v>
      </c>
    </row>
    <row r="22" spans="1:9">
      <c r="A22" s="8" t="s">
        <v>566</v>
      </c>
      <c r="B22" s="29" t="s">
        <v>567</v>
      </c>
      <c r="C22" s="15">
        <v>154659.79999999999</v>
      </c>
      <c r="D22" s="16">
        <v>0.46554890152450745</v>
      </c>
      <c r="E22" s="15">
        <v>226661.5</v>
      </c>
      <c r="F22" s="16">
        <v>2.3591150901233728E-2</v>
      </c>
      <c r="G22" s="15">
        <v>232008.70564999999</v>
      </c>
      <c r="H22" s="41">
        <v>-1.1157795319565367E-2</v>
      </c>
      <c r="I22" s="17">
        <v>229420</v>
      </c>
    </row>
    <row r="23" spans="1:9">
      <c r="A23" s="8" t="s">
        <v>568</v>
      </c>
      <c r="B23" s="29" t="s">
        <v>569</v>
      </c>
      <c r="C23" s="15">
        <v>232604.3</v>
      </c>
      <c r="D23" s="16">
        <v>-0.17441895958071274</v>
      </c>
      <c r="E23" s="15">
        <v>192033.7</v>
      </c>
      <c r="F23" s="16">
        <v>-0.1291771538537248</v>
      </c>
      <c r="G23" s="15">
        <v>167227.33318999998</v>
      </c>
      <c r="H23" s="41">
        <v>0.12842198939810784</v>
      </c>
      <c r="I23" s="17">
        <v>188703</v>
      </c>
    </row>
    <row r="24" spans="1:9">
      <c r="A24" s="8" t="s">
        <v>570</v>
      </c>
      <c r="B24" s="29" t="s">
        <v>571</v>
      </c>
      <c r="C24" s="15">
        <v>360849.4</v>
      </c>
      <c r="D24" s="16">
        <v>6.4744738386706413E-2</v>
      </c>
      <c r="E24" s="15">
        <v>384212.5</v>
      </c>
      <c r="F24" s="16">
        <v>-0.10109962291700557</v>
      </c>
      <c r="G24" s="15">
        <v>345368.76113</v>
      </c>
      <c r="H24" s="41">
        <v>0.4887522493861633</v>
      </c>
      <c r="I24" s="17">
        <v>514168.52</v>
      </c>
    </row>
    <row r="25" spans="1:9">
      <c r="A25" s="8" t="s">
        <v>572</v>
      </c>
      <c r="B25" s="29" t="s">
        <v>573</v>
      </c>
      <c r="C25" s="15">
        <v>1738053.1</v>
      </c>
      <c r="D25" s="16">
        <v>4.1906314599939383E-2</v>
      </c>
      <c r="E25" s="15">
        <v>1810888.5</v>
      </c>
      <c r="F25" s="16">
        <v>-2.7551306593420855E-2</v>
      </c>
      <c r="G25" s="15">
        <v>1760996.15573</v>
      </c>
      <c r="H25" s="41">
        <v>3.8556772755618793E-2</v>
      </c>
      <c r="I25" s="17">
        <v>1828894.4843299999</v>
      </c>
    </row>
    <row r="26" spans="1:9">
      <c r="A26" s="56" t="s">
        <v>574</v>
      </c>
      <c r="B26" s="29" t="s">
        <v>575</v>
      </c>
      <c r="C26" s="15">
        <v>81726</v>
      </c>
      <c r="D26" s="16">
        <v>0.65208134498201309</v>
      </c>
      <c r="E26" s="15">
        <v>135018</v>
      </c>
      <c r="F26" s="16">
        <v>0.14063079604200929</v>
      </c>
      <c r="G26" s="15">
        <v>154005.68882000001</v>
      </c>
      <c r="H26" s="41">
        <v>-0.27099900750276718</v>
      </c>
      <c r="I26" s="17">
        <v>112270.3</v>
      </c>
    </row>
    <row r="27" spans="1:9">
      <c r="A27" s="150">
        <v>489</v>
      </c>
      <c r="B27" s="29" t="s">
        <v>170</v>
      </c>
      <c r="C27" s="15">
        <v>0</v>
      </c>
      <c r="D27" s="16" t="s">
        <v>555</v>
      </c>
      <c r="E27" s="15">
        <v>0</v>
      </c>
      <c r="F27" s="16" t="s">
        <v>555</v>
      </c>
      <c r="G27" s="15">
        <v>0</v>
      </c>
      <c r="H27" s="41" t="s">
        <v>555</v>
      </c>
      <c r="I27" s="17">
        <v>0</v>
      </c>
    </row>
    <row r="28" spans="1:9">
      <c r="A28" s="30" t="s">
        <v>576</v>
      </c>
      <c r="B28" s="31" t="s">
        <v>577</v>
      </c>
      <c r="C28" s="20">
        <v>208133.1</v>
      </c>
      <c r="D28" s="16">
        <v>6.8240467277910166E-2</v>
      </c>
      <c r="E28" s="20">
        <v>222336.2</v>
      </c>
      <c r="F28" s="16">
        <v>-9.1875364425586123E-2</v>
      </c>
      <c r="G28" s="20">
        <v>201908.98060000001</v>
      </c>
      <c r="H28" s="41">
        <v>0.12463595886234688</v>
      </c>
      <c r="I28" s="21">
        <v>227074.1</v>
      </c>
    </row>
    <row r="29" spans="1:9">
      <c r="A29" s="48" t="s">
        <v>578</v>
      </c>
      <c r="B29" s="49" t="s">
        <v>579</v>
      </c>
      <c r="C29" s="24">
        <v>4880832.4999999991</v>
      </c>
      <c r="D29" s="50">
        <v>3.3461074519562255E-2</v>
      </c>
      <c r="E29" s="24">
        <v>5044150.4000000004</v>
      </c>
      <c r="F29" s="50">
        <v>-2.588537689320294E-2</v>
      </c>
      <c r="G29" s="24">
        <v>4913580.66579</v>
      </c>
      <c r="H29" s="243">
        <v>5.9315142736776537E-2</v>
      </c>
      <c r="I29" s="26">
        <v>5205030.4043299994</v>
      </c>
    </row>
    <row r="30" spans="1:9">
      <c r="A30" s="47" t="s">
        <v>580</v>
      </c>
      <c r="B30" s="32" t="s">
        <v>581</v>
      </c>
      <c r="C30" s="33">
        <v>1707.5999999996275</v>
      </c>
      <c r="D30" s="117">
        <v>0</v>
      </c>
      <c r="E30" s="33">
        <v>29610.599999999627</v>
      </c>
      <c r="F30" s="117">
        <v>0</v>
      </c>
      <c r="G30" s="34">
        <v>-74640.402010000311</v>
      </c>
      <c r="H30" s="244">
        <v>0</v>
      </c>
      <c r="I30" s="35">
        <v>-1143.0336100002751</v>
      </c>
    </row>
    <row r="31" spans="1:9">
      <c r="A31" s="120">
        <v>0</v>
      </c>
      <c r="B31" s="28" t="s">
        <v>582</v>
      </c>
      <c r="C31" s="118">
        <v>0</v>
      </c>
      <c r="D31" s="123">
        <v>0</v>
      </c>
      <c r="E31" s="118">
        <v>0</v>
      </c>
      <c r="F31" s="123">
        <v>0</v>
      </c>
      <c r="G31" s="118">
        <v>0</v>
      </c>
      <c r="H31" s="245">
        <v>0</v>
      </c>
      <c r="I31" s="119">
        <v>0</v>
      </c>
    </row>
    <row r="32" spans="1:9">
      <c r="A32" s="56" t="s">
        <v>583</v>
      </c>
      <c r="B32" s="29" t="s">
        <v>584</v>
      </c>
      <c r="C32" s="15">
        <v>214353.2</v>
      </c>
      <c r="D32" s="16">
        <v>0.16764573610284331</v>
      </c>
      <c r="E32" s="15">
        <v>250288.6</v>
      </c>
      <c r="F32" s="16">
        <v>-0.22370823449410004</v>
      </c>
      <c r="G32" s="15">
        <v>194296.97917999999</v>
      </c>
      <c r="H32" s="41">
        <v>0.47821064028958532</v>
      </c>
      <c r="I32" s="17">
        <v>287211.86200000002</v>
      </c>
    </row>
    <row r="33" spans="1:9">
      <c r="A33" s="56" t="s">
        <v>585</v>
      </c>
      <c r="B33" s="29" t="s">
        <v>586</v>
      </c>
      <c r="C33" s="15">
        <v>0</v>
      </c>
      <c r="D33" s="16" t="s">
        <v>555</v>
      </c>
      <c r="E33" s="15">
        <v>0</v>
      </c>
      <c r="F33" s="16" t="s">
        <v>555</v>
      </c>
      <c r="G33" s="15">
        <v>0</v>
      </c>
      <c r="H33" s="41" t="s">
        <v>555</v>
      </c>
      <c r="I33" s="17">
        <v>0</v>
      </c>
    </row>
    <row r="34" spans="1:9">
      <c r="A34" s="8" t="s">
        <v>587</v>
      </c>
      <c r="B34" s="29" t="s">
        <v>588</v>
      </c>
      <c r="C34" s="15">
        <v>71782.899999999994</v>
      </c>
      <c r="D34" s="16">
        <v>-0.63647331049595379</v>
      </c>
      <c r="E34" s="15">
        <v>26095</v>
      </c>
      <c r="F34" s="16">
        <v>-0.12092990994443384</v>
      </c>
      <c r="G34" s="15">
        <v>22939.333999999999</v>
      </c>
      <c r="H34" s="41">
        <v>0.5185989270656246</v>
      </c>
      <c r="I34" s="17">
        <v>34835.648000000001</v>
      </c>
    </row>
    <row r="35" spans="1:9">
      <c r="A35" s="48" t="s">
        <v>589</v>
      </c>
      <c r="B35" s="49" t="s">
        <v>590</v>
      </c>
      <c r="C35" s="24">
        <v>286136.09999999998</v>
      </c>
      <c r="D35" s="51">
        <v>-3.4083430926751292E-2</v>
      </c>
      <c r="E35" s="24">
        <v>276383.59999999998</v>
      </c>
      <c r="F35" s="51">
        <v>-0.21400432883861409</v>
      </c>
      <c r="G35" s="24">
        <v>217236.31318</v>
      </c>
      <c r="H35" s="243">
        <v>0.48247549079492258</v>
      </c>
      <c r="I35" s="26">
        <v>322047.51</v>
      </c>
    </row>
    <row r="36" spans="1:9">
      <c r="A36" s="8" t="s">
        <v>591</v>
      </c>
      <c r="B36" s="29" t="s">
        <v>592</v>
      </c>
      <c r="C36" s="15">
        <v>13263.3</v>
      </c>
      <c r="D36" s="16">
        <v>-0.67956692527500695</v>
      </c>
      <c r="E36" s="15">
        <v>4250</v>
      </c>
      <c r="F36" s="16">
        <v>-1</v>
      </c>
      <c r="G36" s="15">
        <v>0</v>
      </c>
      <c r="H36" s="41" t="s">
        <v>555</v>
      </c>
      <c r="I36" s="17">
        <v>5669</v>
      </c>
    </row>
    <row r="37" spans="1:9">
      <c r="A37" s="8" t="s">
        <v>593</v>
      </c>
      <c r="B37" s="29" t="s">
        <v>594</v>
      </c>
      <c r="C37" s="15">
        <v>67561.399999999994</v>
      </c>
      <c r="D37" s="16">
        <v>0.31584307015544388</v>
      </c>
      <c r="E37" s="15">
        <v>88900.2</v>
      </c>
      <c r="F37" s="16">
        <v>-0.28489210339234317</v>
      </c>
      <c r="G37" s="15">
        <v>63573.235030000011</v>
      </c>
      <c r="H37" s="41">
        <v>0.55388804665018765</v>
      </c>
      <c r="I37" s="17">
        <v>98785.69</v>
      </c>
    </row>
    <row r="38" spans="1:9">
      <c r="A38" s="48" t="s">
        <v>595</v>
      </c>
      <c r="B38" s="49" t="s">
        <v>596</v>
      </c>
      <c r="C38" s="24">
        <v>80824.7</v>
      </c>
      <c r="D38" s="51">
        <v>0.15249669964750875</v>
      </c>
      <c r="E38" s="24">
        <v>93150.2</v>
      </c>
      <c r="F38" s="51">
        <v>-0.31751907102722254</v>
      </c>
      <c r="G38" s="24">
        <v>63573.235030000011</v>
      </c>
      <c r="H38" s="243">
        <v>0.64306079359825186</v>
      </c>
      <c r="I38" s="26">
        <v>104454.69</v>
      </c>
    </row>
    <row r="39" spans="1:9">
      <c r="A39" s="36" t="s">
        <v>597</v>
      </c>
      <c r="B39" s="37" t="s">
        <v>3</v>
      </c>
      <c r="C39" s="38">
        <v>205311.39999999997</v>
      </c>
      <c r="D39" s="39">
        <v>-0.1075342138819374</v>
      </c>
      <c r="E39" s="38">
        <v>183233.39999999997</v>
      </c>
      <c r="F39" s="39">
        <v>-0.16138063175163472</v>
      </c>
      <c r="G39" s="38">
        <v>153663.07814999999</v>
      </c>
      <c r="H39" s="246">
        <v>0.41603840440833983</v>
      </c>
      <c r="I39" s="40">
        <v>217592.82</v>
      </c>
    </row>
    <row r="40" spans="1:9">
      <c r="A40" s="112" t="s">
        <v>0</v>
      </c>
      <c r="B40" s="29" t="s">
        <v>85</v>
      </c>
      <c r="C40" s="15">
        <v>218748.49999999962</v>
      </c>
      <c r="D40" s="16">
        <v>-7.0163681122384886E-2</v>
      </c>
      <c r="E40" s="15">
        <v>203400.29999999964</v>
      </c>
      <c r="F40" s="16">
        <v>-0.50806285192303136</v>
      </c>
      <c r="G40" s="15">
        <v>100060.16349999967</v>
      </c>
      <c r="H40" s="41">
        <v>1.305204727453803</v>
      </c>
      <c r="I40" s="17">
        <v>230659.16192999971</v>
      </c>
    </row>
    <row r="41" spans="1:9">
      <c r="A41" s="112" t="s">
        <v>0</v>
      </c>
      <c r="B41" s="29" t="s">
        <v>598</v>
      </c>
      <c r="C41" s="15">
        <v>13437.099999999657</v>
      </c>
      <c r="D41" s="16">
        <v>0.50083723422466075</v>
      </c>
      <c r="E41" s="15">
        <v>20166.899999999674</v>
      </c>
      <c r="F41" s="16">
        <v>-3.6579650144544367</v>
      </c>
      <c r="G41" s="15">
        <v>-53602.914650000312</v>
      </c>
      <c r="H41" s="41">
        <v>-1.2437617807784567</v>
      </c>
      <c r="I41" s="17">
        <v>13066.341929999704</v>
      </c>
    </row>
    <row r="42" spans="1:9">
      <c r="A42" s="121" t="s">
        <v>0</v>
      </c>
      <c r="B42" s="31" t="s">
        <v>599</v>
      </c>
      <c r="C42" s="20">
        <v>4662183.9999999991</v>
      </c>
      <c r="D42" s="111">
        <v>4.3952555283103656E-2</v>
      </c>
      <c r="E42" s="20">
        <v>4867098.9000000004</v>
      </c>
      <c r="F42" s="111">
        <v>-1.8753788615226447E-2</v>
      </c>
      <c r="G42" s="20">
        <v>4775822.3560599992</v>
      </c>
      <c r="H42" s="247">
        <v>2.5427684885705459E-2</v>
      </c>
      <c r="I42" s="21">
        <v>4897260.4620000003</v>
      </c>
    </row>
    <row r="43" spans="1:9">
      <c r="A43" s="121">
        <v>0</v>
      </c>
      <c r="B43" s="31" t="s">
        <v>5</v>
      </c>
      <c r="C43" s="60">
        <v>1.0654474130515872</v>
      </c>
      <c r="D43" s="122">
        <v>0</v>
      </c>
      <c r="E43" s="60">
        <v>1.1100612661228775</v>
      </c>
      <c r="F43" s="167">
        <v>0</v>
      </c>
      <c r="G43" s="60">
        <v>0.65116594503153702</v>
      </c>
      <c r="H43" s="167">
        <v>0</v>
      </c>
      <c r="I43" s="168">
        <v>1.0600495086648525</v>
      </c>
    </row>
  </sheetData>
  <phoneticPr fontId="7" type="noConversion"/>
  <pageMargins left="0.23622047244094491" right="0.23622047244094491" top="0.74803149606299213" bottom="0.74803149606299213" header="0.31496062992125984" footer="0.31496062992125984"/>
  <pageSetup paperSize="9" orientation="landscape" r:id="rId1"/>
  <headerFooter alignWithMargins="0">
    <oddHeader>&amp;LFachgruppe für kantonale Finanzfragen (FkF)
Groupe d'études pour les finances cantonales
&amp;CKanton VD&amp;RZürich, 11.05.2015</oddHeader>
    <oddFooter>&amp;L&amp;F / &amp;A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0">
    <tabColor rgb="FF00B050"/>
  </sheetPr>
  <dimension ref="A1:AQ186"/>
  <sheetViews>
    <sheetView zoomScale="115" zoomScaleNormal="115" workbookViewId="0">
      <selection activeCell="G10" sqref="G10"/>
    </sheetView>
  </sheetViews>
  <sheetFormatPr baseColWidth="10" defaultColWidth="11.42578125" defaultRowHeight="12.75"/>
  <cols>
    <col min="1" max="1" width="15.140625" style="248" customWidth="1"/>
    <col min="2" max="2" width="3.7109375" style="248" customWidth="1"/>
    <col min="3" max="3" width="44.7109375" style="248" customWidth="1"/>
    <col min="4" max="16384" width="11.42578125" style="248"/>
  </cols>
  <sheetData>
    <row r="1" spans="1:43" s="464" customFormat="1" ht="18" customHeight="1">
      <c r="A1" s="469" t="s">
        <v>258</v>
      </c>
      <c r="B1" s="468" t="s">
        <v>257</v>
      </c>
      <c r="C1" s="468" t="s">
        <v>256</v>
      </c>
      <c r="D1" s="466" t="s">
        <v>255</v>
      </c>
      <c r="E1" s="467" t="s">
        <v>254</v>
      </c>
      <c r="F1" s="466" t="s">
        <v>255</v>
      </c>
      <c r="G1" s="467" t="s">
        <v>254</v>
      </c>
      <c r="H1" s="465"/>
      <c r="I1" s="465"/>
      <c r="J1" s="465"/>
      <c r="K1" s="465"/>
      <c r="L1" s="465"/>
      <c r="M1" s="465"/>
      <c r="N1" s="465"/>
      <c r="O1" s="465"/>
      <c r="P1" s="465"/>
      <c r="Q1" s="465"/>
      <c r="R1" s="465"/>
      <c r="S1" s="465"/>
      <c r="T1" s="465"/>
      <c r="U1" s="465"/>
      <c r="V1" s="465"/>
      <c r="W1" s="465"/>
      <c r="X1" s="465"/>
      <c r="Y1" s="465"/>
      <c r="Z1" s="465"/>
      <c r="AA1" s="465"/>
      <c r="AB1" s="465"/>
      <c r="AC1" s="465"/>
      <c r="AD1" s="465"/>
      <c r="AE1" s="465"/>
      <c r="AF1" s="465"/>
      <c r="AG1" s="465"/>
      <c r="AH1" s="465"/>
      <c r="AI1" s="465"/>
      <c r="AJ1" s="465"/>
      <c r="AK1" s="465"/>
      <c r="AL1" s="465"/>
      <c r="AM1" s="465"/>
      <c r="AN1" s="465"/>
      <c r="AO1" s="465"/>
      <c r="AP1" s="465"/>
      <c r="AQ1" s="465"/>
    </row>
    <row r="2" spans="1:43" s="458" customFormat="1" ht="15" customHeight="1">
      <c r="A2" s="463"/>
      <c r="B2" s="462"/>
      <c r="C2" s="461" t="s">
        <v>253</v>
      </c>
      <c r="D2" s="459">
        <v>2013</v>
      </c>
      <c r="E2" s="460">
        <v>2014</v>
      </c>
      <c r="F2" s="459">
        <v>2014</v>
      </c>
      <c r="G2" s="460">
        <v>2015</v>
      </c>
    </row>
    <row r="3" spans="1:43" ht="15" customHeight="1">
      <c r="A3" s="955" t="s">
        <v>252</v>
      </c>
      <c r="B3" s="956"/>
      <c r="C3" s="956"/>
      <c r="D3" s="294"/>
      <c r="E3" s="457" t="s">
        <v>251</v>
      </c>
      <c r="F3" s="294"/>
      <c r="G3" s="457"/>
    </row>
    <row r="4" spans="1:43" s="255" customFormat="1" ht="12.75" customHeight="1">
      <c r="A4" s="456">
        <v>30</v>
      </c>
      <c r="B4" s="455"/>
      <c r="C4" s="454" t="s">
        <v>250</v>
      </c>
      <c r="D4" s="411"/>
      <c r="E4" s="453">
        <v>1629823</v>
      </c>
      <c r="F4" s="411">
        <v>1632056.3621499999</v>
      </c>
      <c r="G4" s="453">
        <v>1607797.0120000001</v>
      </c>
    </row>
    <row r="5" spans="1:43" s="255" customFormat="1" ht="12.75" customHeight="1">
      <c r="A5" s="421">
        <v>31</v>
      </c>
      <c r="B5" s="392"/>
      <c r="C5" s="390" t="s">
        <v>249</v>
      </c>
      <c r="D5" s="317"/>
      <c r="E5" s="361">
        <v>367201</v>
      </c>
      <c r="F5" s="317">
        <v>372969.30953999999</v>
      </c>
      <c r="G5" s="361">
        <v>371422.08100000001</v>
      </c>
    </row>
    <row r="6" spans="1:43" s="255" customFormat="1" ht="12.75" customHeight="1">
      <c r="A6" s="452" t="s">
        <v>248</v>
      </c>
      <c r="B6" s="391"/>
      <c r="C6" s="427" t="s">
        <v>247</v>
      </c>
      <c r="D6" s="322"/>
      <c r="E6" s="321">
        <v>25127.599999999999</v>
      </c>
      <c r="F6" s="322">
        <v>28239.331579999998</v>
      </c>
      <c r="G6" s="361">
        <v>29452.400000000001</v>
      </c>
    </row>
    <row r="7" spans="1:43" s="255" customFormat="1" ht="12.75" customHeight="1">
      <c r="A7" s="452" t="s">
        <v>246</v>
      </c>
      <c r="B7" s="391"/>
      <c r="C7" s="427" t="s">
        <v>245</v>
      </c>
      <c r="D7" s="322"/>
      <c r="E7" s="321">
        <v>1200</v>
      </c>
      <c r="F7" s="322">
        <v>8139.8884699999999</v>
      </c>
      <c r="G7" s="361">
        <v>1200</v>
      </c>
    </row>
    <row r="8" spans="1:43" s="255" customFormat="1" ht="12.75" customHeight="1">
      <c r="A8" s="398">
        <v>330</v>
      </c>
      <c r="B8" s="392"/>
      <c r="C8" s="390" t="s">
        <v>244</v>
      </c>
      <c r="D8" s="317"/>
      <c r="E8" s="316">
        <v>141453.20000000001</v>
      </c>
      <c r="F8" s="317">
        <v>142527.91931999999</v>
      </c>
      <c r="G8" s="361">
        <v>189544.54754</v>
      </c>
    </row>
    <row r="9" spans="1:43" s="255" customFormat="1" ht="12.75" customHeight="1">
      <c r="A9" s="398">
        <v>332</v>
      </c>
      <c r="B9" s="392"/>
      <c r="C9" s="390" t="s">
        <v>243</v>
      </c>
      <c r="D9" s="317"/>
      <c r="E9" s="316">
        <v>0</v>
      </c>
      <c r="F9" s="317">
        <v>0</v>
      </c>
      <c r="G9" s="361">
        <v>0</v>
      </c>
    </row>
    <row r="10" spans="1:43" s="255" customFormat="1" ht="12.75" customHeight="1">
      <c r="A10" s="398">
        <v>339</v>
      </c>
      <c r="B10" s="392"/>
      <c r="C10" s="390" t="s">
        <v>242</v>
      </c>
      <c r="D10" s="317"/>
      <c r="E10" s="316">
        <v>11000</v>
      </c>
      <c r="F10" s="317">
        <v>11000</v>
      </c>
      <c r="G10" s="361">
        <v>10594</v>
      </c>
    </row>
    <row r="11" spans="1:43" s="255" customFormat="1" ht="12.75" customHeight="1">
      <c r="A11" s="421">
        <v>350</v>
      </c>
      <c r="B11" s="392"/>
      <c r="C11" s="390" t="s">
        <v>241</v>
      </c>
      <c r="D11" s="317"/>
      <c r="E11" s="316">
        <v>0</v>
      </c>
      <c r="F11" s="317">
        <v>486.31211999999999</v>
      </c>
      <c r="G11" s="361">
        <v>0</v>
      </c>
    </row>
    <row r="12" spans="1:43" s="384" customFormat="1">
      <c r="A12" s="405">
        <v>351</v>
      </c>
      <c r="B12" s="404"/>
      <c r="C12" s="395" t="s">
        <v>240</v>
      </c>
      <c r="D12" s="450"/>
      <c r="E12" s="400">
        <v>27698.6</v>
      </c>
      <c r="F12" s="450">
        <v>52539.166689999998</v>
      </c>
      <c r="G12" s="361">
        <v>172084.19039999999</v>
      </c>
    </row>
    <row r="13" spans="1:43" s="255" customFormat="1" ht="12.75" customHeight="1">
      <c r="A13" s="421">
        <v>36</v>
      </c>
      <c r="B13" s="392"/>
      <c r="C13" s="390" t="s">
        <v>239</v>
      </c>
      <c r="D13" s="322"/>
      <c r="E13" s="316">
        <v>2278579.2000000002</v>
      </c>
      <c r="F13" s="322">
        <v>2281100.7833400001</v>
      </c>
      <c r="G13" s="361">
        <v>2302243.5070000002</v>
      </c>
    </row>
    <row r="14" spans="1:43" s="255" customFormat="1" ht="12.75" customHeight="1">
      <c r="A14" s="449" t="s">
        <v>238</v>
      </c>
      <c r="B14" s="392"/>
      <c r="C14" s="447" t="s">
        <v>237</v>
      </c>
      <c r="D14" s="322"/>
      <c r="E14" s="316">
        <v>786295.6</v>
      </c>
      <c r="F14" s="322">
        <v>744615.51460999995</v>
      </c>
      <c r="G14" s="361">
        <v>768309.16399999999</v>
      </c>
    </row>
    <row r="15" spans="1:43" s="255" customFormat="1" ht="12.75" customHeight="1">
      <c r="A15" s="449" t="s">
        <v>236</v>
      </c>
      <c r="B15" s="392"/>
      <c r="C15" s="447" t="s">
        <v>235</v>
      </c>
      <c r="D15" s="322"/>
      <c r="E15" s="316">
        <v>420</v>
      </c>
      <c r="F15" s="322">
        <v>21640.7906</v>
      </c>
      <c r="G15" s="361">
        <v>500</v>
      </c>
    </row>
    <row r="16" spans="1:43" s="441" customFormat="1" ht="26.25" customHeight="1">
      <c r="A16" s="449" t="s">
        <v>234</v>
      </c>
      <c r="B16" s="448"/>
      <c r="C16" s="447" t="s">
        <v>233</v>
      </c>
      <c r="D16" s="442"/>
      <c r="E16" s="443">
        <v>21336.5</v>
      </c>
      <c r="F16" s="442">
        <v>21172.646189999999</v>
      </c>
      <c r="G16" s="361">
        <v>31663.648000000001</v>
      </c>
    </row>
    <row r="17" spans="1:7" s="437" customFormat="1">
      <c r="A17" s="421">
        <v>37</v>
      </c>
      <c r="B17" s="392"/>
      <c r="C17" s="390" t="s">
        <v>211</v>
      </c>
      <c r="D17" s="431"/>
      <c r="E17" s="430">
        <v>293196.59999999998</v>
      </c>
      <c r="F17" s="431">
        <v>254995.21963000001</v>
      </c>
      <c r="G17" s="361">
        <v>294824.59999999998</v>
      </c>
    </row>
    <row r="18" spans="1:7" s="437" customFormat="1">
      <c r="A18" s="428" t="s">
        <v>232</v>
      </c>
      <c r="B18" s="391"/>
      <c r="C18" s="427" t="s">
        <v>231</v>
      </c>
      <c r="D18" s="438"/>
      <c r="E18" s="430">
        <v>60000</v>
      </c>
      <c r="F18" s="438">
        <v>57809.060319999997</v>
      </c>
      <c r="G18" s="361">
        <v>75210</v>
      </c>
    </row>
    <row r="19" spans="1:7" s="437" customFormat="1">
      <c r="A19" s="428" t="s">
        <v>230</v>
      </c>
      <c r="B19" s="391"/>
      <c r="C19" s="427" t="s">
        <v>229</v>
      </c>
      <c r="D19" s="438"/>
      <c r="E19" s="430">
        <v>209309.9</v>
      </c>
      <c r="F19" s="438">
        <v>162276.78849000001</v>
      </c>
      <c r="G19" s="361">
        <v>188380.3</v>
      </c>
    </row>
    <row r="20" spans="1:7" s="255" customFormat="1" ht="12.75" customHeight="1">
      <c r="A20" s="424">
        <v>39</v>
      </c>
      <c r="B20" s="423"/>
      <c r="C20" s="388" t="s">
        <v>228</v>
      </c>
      <c r="D20" s="333"/>
      <c r="E20" s="372">
        <v>222336.2</v>
      </c>
      <c r="F20" s="333">
        <v>201908.98060000001</v>
      </c>
      <c r="G20" s="354">
        <v>227074.1</v>
      </c>
    </row>
    <row r="21" spans="1:7" ht="12.75" customHeight="1">
      <c r="A21" s="383"/>
      <c r="B21" s="383"/>
      <c r="C21" s="381" t="s">
        <v>227</v>
      </c>
      <c r="D21" s="380">
        <f>D4+D5+SUM(D8:D13)+D17</f>
        <v>0</v>
      </c>
      <c r="E21" s="380">
        <f>E4+E5+SUM(E8:E13)+E17</f>
        <v>4748951.5999999996</v>
      </c>
      <c r="F21" s="380">
        <f>F4+F5+SUM(F8:F13)+F17</f>
        <v>4747675.0727900006</v>
      </c>
      <c r="G21" s="380">
        <f>G4+G5+SUM(G8:G13)+G17</f>
        <v>4948509.9379399996</v>
      </c>
    </row>
    <row r="22" spans="1:7" s="255" customFormat="1" ht="12.75" customHeight="1">
      <c r="A22" s="398" t="s">
        <v>226</v>
      </c>
      <c r="B22" s="392"/>
      <c r="C22" s="390" t="s">
        <v>225</v>
      </c>
      <c r="D22" s="317"/>
      <c r="E22" s="316">
        <v>2073000</v>
      </c>
      <c r="F22" s="317">
        <v>2052065.04067</v>
      </c>
      <c r="G22" s="316">
        <v>2104500</v>
      </c>
    </row>
    <row r="23" spans="1:7" s="255" customFormat="1" ht="12.75" customHeight="1">
      <c r="A23" s="398" t="s">
        <v>224</v>
      </c>
      <c r="B23" s="392"/>
      <c r="C23" s="390" t="s">
        <v>223</v>
      </c>
      <c r="D23" s="317"/>
      <c r="E23" s="316">
        <v>226661.5</v>
      </c>
      <c r="F23" s="317">
        <v>232008.70564999999</v>
      </c>
      <c r="G23" s="316">
        <v>229420</v>
      </c>
    </row>
    <row r="24" spans="1:7" s="436" customFormat="1" ht="12.75" customHeight="1">
      <c r="A24" s="421">
        <v>41</v>
      </c>
      <c r="B24" s="392"/>
      <c r="C24" s="390" t="s">
        <v>222</v>
      </c>
      <c r="D24" s="317"/>
      <c r="E24" s="316">
        <v>118232</v>
      </c>
      <c r="F24" s="317">
        <v>65846.990309999994</v>
      </c>
      <c r="G24" s="316">
        <v>233395</v>
      </c>
    </row>
    <row r="25" spans="1:7" s="255" customFormat="1" ht="12.75" customHeight="1">
      <c r="A25" s="435">
        <v>42</v>
      </c>
      <c r="B25" s="434"/>
      <c r="C25" s="390" t="s">
        <v>221</v>
      </c>
      <c r="D25" s="317"/>
      <c r="E25" s="316">
        <v>265900</v>
      </c>
      <c r="F25" s="317">
        <v>278563.59537</v>
      </c>
      <c r="G25" s="316">
        <v>280702.02</v>
      </c>
    </row>
    <row r="26" spans="1:7" s="429" customFormat="1" ht="12.75" customHeight="1">
      <c r="A26" s="405">
        <v>430</v>
      </c>
      <c r="B26" s="392"/>
      <c r="C26" s="390" t="s">
        <v>220</v>
      </c>
      <c r="D26" s="431"/>
      <c r="E26" s="430">
        <v>80</v>
      </c>
      <c r="F26" s="431">
        <v>198.01410000000001</v>
      </c>
      <c r="G26" s="430">
        <v>71</v>
      </c>
    </row>
    <row r="27" spans="1:7" s="429" customFormat="1" ht="12.75" customHeight="1">
      <c r="A27" s="405">
        <v>431</v>
      </c>
      <c r="B27" s="392"/>
      <c r="C27" s="390" t="s">
        <v>219</v>
      </c>
      <c r="D27" s="431"/>
      <c r="E27" s="430">
        <v>0</v>
      </c>
      <c r="F27" s="431">
        <v>0</v>
      </c>
      <c r="G27" s="430">
        <v>0</v>
      </c>
    </row>
    <row r="28" spans="1:7" s="429" customFormat="1" ht="12.75" customHeight="1">
      <c r="A28" s="405">
        <v>432</v>
      </c>
      <c r="B28" s="392"/>
      <c r="C28" s="390" t="s">
        <v>218</v>
      </c>
      <c r="D28" s="431"/>
      <c r="E28" s="430">
        <v>0</v>
      </c>
      <c r="F28" s="431">
        <v>0</v>
      </c>
      <c r="G28" s="430">
        <v>0</v>
      </c>
    </row>
    <row r="29" spans="1:7" s="429" customFormat="1" ht="12.75" customHeight="1">
      <c r="A29" s="405">
        <v>439</v>
      </c>
      <c r="B29" s="392"/>
      <c r="C29" s="390" t="s">
        <v>217</v>
      </c>
      <c r="D29" s="431"/>
      <c r="E29" s="430">
        <v>0.5</v>
      </c>
      <c r="F29" s="431">
        <v>760.16134999999997</v>
      </c>
      <c r="G29" s="430">
        <v>0.5</v>
      </c>
    </row>
    <row r="30" spans="1:7" s="255" customFormat="1" ht="25.5">
      <c r="A30" s="405">
        <v>450</v>
      </c>
      <c r="B30" s="404"/>
      <c r="C30" s="395" t="s">
        <v>216</v>
      </c>
      <c r="D30" s="362"/>
      <c r="E30" s="361">
        <v>13622</v>
      </c>
      <c r="F30" s="362">
        <v>0</v>
      </c>
      <c r="G30" s="361">
        <v>17405.5</v>
      </c>
    </row>
    <row r="31" spans="1:7" s="384" customFormat="1" ht="25.5">
      <c r="A31" s="405">
        <v>451</v>
      </c>
      <c r="B31" s="404"/>
      <c r="C31" s="395" t="s">
        <v>215</v>
      </c>
      <c r="D31" s="311"/>
      <c r="E31" s="316">
        <v>121396</v>
      </c>
      <c r="F31" s="311">
        <v>154005.68882000001</v>
      </c>
      <c r="G31" s="316">
        <v>94864.8</v>
      </c>
    </row>
    <row r="32" spans="1:7" s="255" customFormat="1" ht="12.75" customHeight="1">
      <c r="A32" s="421">
        <v>46</v>
      </c>
      <c r="B32" s="392"/>
      <c r="C32" s="390" t="s">
        <v>214</v>
      </c>
      <c r="D32" s="317"/>
      <c r="E32" s="316">
        <v>1517691.9</v>
      </c>
      <c r="F32" s="317">
        <v>1506000.9361</v>
      </c>
      <c r="G32" s="316">
        <v>1534069.88433</v>
      </c>
    </row>
    <row r="33" spans="1:7" s="384" customFormat="1" ht="12.75" customHeight="1">
      <c r="A33" s="428" t="s">
        <v>213</v>
      </c>
      <c r="B33" s="391"/>
      <c r="C33" s="427" t="s">
        <v>212</v>
      </c>
      <c r="D33" s="322"/>
      <c r="E33" s="321">
        <v>0</v>
      </c>
      <c r="F33" s="322">
        <v>0</v>
      </c>
      <c r="G33" s="321"/>
    </row>
    <row r="34" spans="1:7" s="255" customFormat="1" ht="15" customHeight="1">
      <c r="A34" s="421">
        <v>47</v>
      </c>
      <c r="B34" s="392"/>
      <c r="C34" s="390" t="s">
        <v>211</v>
      </c>
      <c r="D34" s="317"/>
      <c r="E34" s="316">
        <v>293196.59999999998</v>
      </c>
      <c r="F34" s="317">
        <v>254995.21963000001</v>
      </c>
      <c r="G34" s="316">
        <v>294824.59999999998</v>
      </c>
    </row>
    <row r="35" spans="1:7" s="255" customFormat="1" ht="15" customHeight="1">
      <c r="A35" s="424">
        <v>49</v>
      </c>
      <c r="B35" s="423"/>
      <c r="C35" s="388" t="s">
        <v>210</v>
      </c>
      <c r="D35" s="333"/>
      <c r="E35" s="372">
        <v>222336.2</v>
      </c>
      <c r="F35" s="333">
        <v>201908.98060000001</v>
      </c>
      <c r="G35" s="372">
        <v>227074.1</v>
      </c>
    </row>
    <row r="36" spans="1:7" ht="13.5" customHeight="1">
      <c r="A36" s="383"/>
      <c r="B36" s="416"/>
      <c r="C36" s="381" t="s">
        <v>209</v>
      </c>
      <c r="D36" s="380">
        <f>D22+D23+D24+D25+D26+D27+D28+D29+D30+D31+D32+D34</f>
        <v>0</v>
      </c>
      <c r="E36" s="380">
        <f>E22+E23+E24+E25+E26+E27+E28+E29+E30+E31+E32+E34</f>
        <v>4629780.5</v>
      </c>
      <c r="F36" s="380">
        <f>F22+F23+F24+F25+F26+F27+F28+F29+F30+F31+F32+F34</f>
        <v>4544444.351999999</v>
      </c>
      <c r="G36" s="380">
        <f>G22+G23+G24+G25+G26+G27+G28+G29+G30+G31+G32+G34</f>
        <v>4789253.3043299997</v>
      </c>
    </row>
    <row r="37" spans="1:7" s="422" customFormat="1" ht="15" customHeight="1">
      <c r="A37" s="383"/>
      <c r="B37" s="416"/>
      <c r="C37" s="381" t="s">
        <v>208</v>
      </c>
      <c r="D37" s="380">
        <f>D36-D21</f>
        <v>0</v>
      </c>
      <c r="E37" s="380">
        <f>E36-E21</f>
        <v>-119171.09999999963</v>
      </c>
      <c r="F37" s="380">
        <f>F36-F21</f>
        <v>-203230.72079000156</v>
      </c>
      <c r="G37" s="380">
        <f>G36-G21</f>
        <v>-159256.6336099999</v>
      </c>
    </row>
    <row r="38" spans="1:7" s="384" customFormat="1" ht="15" customHeight="1">
      <c r="A38" s="398">
        <v>340</v>
      </c>
      <c r="B38" s="392"/>
      <c r="C38" s="390" t="s">
        <v>207</v>
      </c>
      <c r="D38" s="317"/>
      <c r="E38" s="316">
        <v>42470</v>
      </c>
      <c r="F38" s="317">
        <v>37859.704689999999</v>
      </c>
      <c r="G38" s="316">
        <v>30190.400000000001</v>
      </c>
    </row>
    <row r="39" spans="1:7" s="384" customFormat="1" ht="15" customHeight="1">
      <c r="A39" s="398">
        <v>341</v>
      </c>
      <c r="B39" s="392"/>
      <c r="C39" s="390" t="s">
        <v>206</v>
      </c>
      <c r="D39" s="317"/>
      <c r="E39" s="316">
        <v>0</v>
      </c>
      <c r="F39" s="317">
        <v>0</v>
      </c>
      <c r="G39" s="316">
        <v>0</v>
      </c>
    </row>
    <row r="40" spans="1:7" s="384" customFormat="1" ht="15" customHeight="1">
      <c r="A40" s="398">
        <v>342</v>
      </c>
      <c r="B40" s="392"/>
      <c r="C40" s="390" t="s">
        <v>205</v>
      </c>
      <c r="D40" s="317"/>
      <c r="E40" s="316">
        <v>782</v>
      </c>
      <c r="F40" s="317">
        <v>777.30971999999997</v>
      </c>
      <c r="G40" s="316">
        <v>399</v>
      </c>
    </row>
    <row r="41" spans="1:7" s="384" customFormat="1" ht="15" customHeight="1">
      <c r="A41" s="398">
        <v>343</v>
      </c>
      <c r="B41" s="392"/>
      <c r="C41" s="390" t="s">
        <v>204</v>
      </c>
      <c r="D41" s="317"/>
      <c r="E41" s="316">
        <v>0</v>
      </c>
      <c r="F41" s="317">
        <v>0</v>
      </c>
      <c r="G41" s="316">
        <v>0</v>
      </c>
    </row>
    <row r="42" spans="1:7" s="384" customFormat="1" ht="15" customHeight="1">
      <c r="A42" s="398">
        <v>344</v>
      </c>
      <c r="B42" s="392"/>
      <c r="C42" s="390" t="s">
        <v>198</v>
      </c>
      <c r="D42" s="317"/>
      <c r="E42" s="316">
        <v>0</v>
      </c>
      <c r="F42" s="317">
        <v>0</v>
      </c>
      <c r="G42" s="316">
        <v>0</v>
      </c>
    </row>
    <row r="43" spans="1:7" s="384" customFormat="1" ht="15" customHeight="1">
      <c r="A43" s="398">
        <v>349</v>
      </c>
      <c r="B43" s="392"/>
      <c r="C43" s="390" t="s">
        <v>203</v>
      </c>
      <c r="D43" s="317"/>
      <c r="E43" s="316">
        <v>0</v>
      </c>
      <c r="F43" s="317">
        <v>0</v>
      </c>
      <c r="G43" s="316">
        <v>0</v>
      </c>
    </row>
    <row r="44" spans="1:7" s="255" customFormat="1" ht="15" customHeight="1">
      <c r="A44" s="421">
        <v>440</v>
      </c>
      <c r="B44" s="392"/>
      <c r="C44" s="390" t="s">
        <v>202</v>
      </c>
      <c r="D44" s="317"/>
      <c r="E44" s="316">
        <v>8501.6</v>
      </c>
      <c r="F44" s="317">
        <v>6022.91885</v>
      </c>
      <c r="G44" s="316">
        <v>7665.5</v>
      </c>
    </row>
    <row r="45" spans="1:7" s="255" customFormat="1" ht="15" customHeight="1">
      <c r="A45" s="421">
        <v>441</v>
      </c>
      <c r="B45" s="392"/>
      <c r="C45" s="390" t="s">
        <v>201</v>
      </c>
      <c r="D45" s="317"/>
      <c r="E45" s="316">
        <v>90</v>
      </c>
      <c r="F45" s="317">
        <v>4001.0349200000001</v>
      </c>
      <c r="G45" s="316">
        <v>2000</v>
      </c>
    </row>
    <row r="46" spans="1:7" s="255" customFormat="1" ht="15" customHeight="1">
      <c r="A46" s="421">
        <v>442</v>
      </c>
      <c r="B46" s="392"/>
      <c r="C46" s="390" t="s">
        <v>200</v>
      </c>
      <c r="D46" s="317"/>
      <c r="E46" s="316">
        <v>414</v>
      </c>
      <c r="F46" s="317">
        <v>0</v>
      </c>
      <c r="G46" s="316">
        <v>414</v>
      </c>
    </row>
    <row r="47" spans="1:7" s="255" customFormat="1" ht="15" customHeight="1">
      <c r="A47" s="421">
        <v>443</v>
      </c>
      <c r="B47" s="392"/>
      <c r="C47" s="390" t="s">
        <v>199</v>
      </c>
      <c r="D47" s="317"/>
      <c r="E47" s="316">
        <v>2427</v>
      </c>
      <c r="F47" s="317">
        <v>2600.1169799999998</v>
      </c>
      <c r="G47" s="316">
        <v>2427</v>
      </c>
    </row>
    <row r="48" spans="1:7" s="255" customFormat="1" ht="15" customHeight="1">
      <c r="A48" s="421">
        <v>444</v>
      </c>
      <c r="B48" s="392"/>
      <c r="C48" s="390" t="s">
        <v>198</v>
      </c>
      <c r="D48" s="317"/>
      <c r="E48" s="316">
        <v>0</v>
      </c>
      <c r="F48" s="317">
        <v>57.606999999999999</v>
      </c>
      <c r="G48" s="316">
        <v>4700</v>
      </c>
    </row>
    <row r="49" spans="1:7" s="255" customFormat="1" ht="15" customHeight="1">
      <c r="A49" s="421">
        <v>445</v>
      </c>
      <c r="B49" s="392"/>
      <c r="C49" s="390" t="s">
        <v>197</v>
      </c>
      <c r="D49" s="317"/>
      <c r="E49" s="316">
        <v>8234</v>
      </c>
      <c r="F49" s="317">
        <v>7266.1217999999999</v>
      </c>
      <c r="G49" s="316">
        <v>7061</v>
      </c>
    </row>
    <row r="50" spans="1:7" s="255" customFormat="1" ht="15" customHeight="1">
      <c r="A50" s="421">
        <v>446</v>
      </c>
      <c r="B50" s="392"/>
      <c r="C50" s="390" t="s">
        <v>196</v>
      </c>
      <c r="D50" s="317"/>
      <c r="E50" s="316">
        <v>148751.1</v>
      </c>
      <c r="F50" s="317">
        <v>125150.4227</v>
      </c>
      <c r="G50" s="316">
        <v>143840.5</v>
      </c>
    </row>
    <row r="51" spans="1:7" s="255" customFormat="1" ht="15" customHeight="1">
      <c r="A51" s="421">
        <v>447</v>
      </c>
      <c r="B51" s="392"/>
      <c r="C51" s="390" t="s">
        <v>195</v>
      </c>
      <c r="D51" s="317"/>
      <c r="E51" s="316">
        <v>23616</v>
      </c>
      <c r="F51" s="317">
        <v>22129.110939999999</v>
      </c>
      <c r="G51" s="316">
        <v>20595</v>
      </c>
    </row>
    <row r="52" spans="1:7" s="255" customFormat="1" ht="15" customHeight="1">
      <c r="A52" s="421">
        <v>448</v>
      </c>
      <c r="B52" s="392"/>
      <c r="C52" s="390" t="s">
        <v>194</v>
      </c>
      <c r="D52" s="317"/>
      <c r="E52" s="316">
        <v>0</v>
      </c>
      <c r="F52" s="317">
        <v>0</v>
      </c>
      <c r="G52" s="316">
        <v>0</v>
      </c>
    </row>
    <row r="53" spans="1:7" s="255" customFormat="1" ht="15" customHeight="1">
      <c r="A53" s="421">
        <v>449</v>
      </c>
      <c r="B53" s="392"/>
      <c r="C53" s="390" t="s">
        <v>193</v>
      </c>
      <c r="D53" s="317"/>
      <c r="E53" s="316">
        <v>0</v>
      </c>
      <c r="F53" s="317">
        <v>0</v>
      </c>
      <c r="G53" s="316">
        <v>0</v>
      </c>
    </row>
    <row r="54" spans="1:7" s="384" customFormat="1" ht="13.5" customHeight="1">
      <c r="A54" s="420" t="s">
        <v>192</v>
      </c>
      <c r="B54" s="385"/>
      <c r="C54" s="385" t="s">
        <v>191</v>
      </c>
      <c r="D54" s="300"/>
      <c r="E54" s="299">
        <v>0</v>
      </c>
      <c r="F54" s="300">
        <v>0</v>
      </c>
      <c r="G54" s="299">
        <v>0</v>
      </c>
    </row>
    <row r="55" spans="1:7" ht="15" customHeight="1">
      <c r="A55" s="416"/>
      <c r="B55" s="416"/>
      <c r="C55" s="381" t="s">
        <v>55</v>
      </c>
      <c r="D55" s="380">
        <f>SUM(D44:D53)-SUM(D38:D43)</f>
        <v>0</v>
      </c>
      <c r="E55" s="380">
        <f>SUM(E44:E53)-SUM(E38:E43)</f>
        <v>148781.70000000001</v>
      </c>
      <c r="F55" s="380">
        <f>SUM(F44:F53)-SUM(F38:F43)</f>
        <v>128590.31877999997</v>
      </c>
      <c r="G55" s="380">
        <f>SUM(G44:G53)-SUM(G38:G43)</f>
        <v>158113.60000000001</v>
      </c>
    </row>
    <row r="56" spans="1:7" ht="14.25" customHeight="1">
      <c r="A56" s="416"/>
      <c r="B56" s="416"/>
      <c r="C56" s="381" t="s">
        <v>190</v>
      </c>
      <c r="D56" s="380">
        <f>D55+D37</f>
        <v>0</v>
      </c>
      <c r="E56" s="380">
        <f>E55+E37</f>
        <v>29610.600000000384</v>
      </c>
      <c r="F56" s="380">
        <f>F55+F37</f>
        <v>-74640.402010001591</v>
      </c>
      <c r="G56" s="380">
        <f>G55+G37</f>
        <v>-1143.0336099998967</v>
      </c>
    </row>
    <row r="57" spans="1:7" s="255" customFormat="1" ht="15.75" customHeight="1">
      <c r="A57" s="415">
        <v>380</v>
      </c>
      <c r="B57" s="414"/>
      <c r="C57" s="413" t="s">
        <v>189</v>
      </c>
      <c r="D57" s="411"/>
      <c r="E57" s="411">
        <v>0</v>
      </c>
      <c r="F57" s="411"/>
      <c r="G57" s="411">
        <v>0</v>
      </c>
    </row>
    <row r="58" spans="1:7" s="255" customFormat="1" ht="15.75" customHeight="1">
      <c r="A58" s="415">
        <v>381</v>
      </c>
      <c r="B58" s="414"/>
      <c r="C58" s="413" t="s">
        <v>188</v>
      </c>
      <c r="D58" s="411"/>
      <c r="E58" s="411">
        <v>0</v>
      </c>
      <c r="F58" s="411"/>
      <c r="G58" s="411">
        <v>0</v>
      </c>
    </row>
    <row r="59" spans="1:7" s="384" customFormat="1" ht="25.5">
      <c r="A59" s="405">
        <v>383</v>
      </c>
      <c r="B59" s="404"/>
      <c r="C59" s="395" t="s">
        <v>187</v>
      </c>
      <c r="D59" s="343"/>
      <c r="E59" s="342">
        <v>0</v>
      </c>
      <c r="F59" s="343"/>
      <c r="G59" s="342">
        <v>0</v>
      </c>
    </row>
    <row r="60" spans="1:7" s="384" customFormat="1">
      <c r="A60" s="405">
        <v>3840</v>
      </c>
      <c r="B60" s="404"/>
      <c r="C60" s="395" t="s">
        <v>186</v>
      </c>
      <c r="D60" s="401"/>
      <c r="E60" s="400">
        <v>0</v>
      </c>
      <c r="F60" s="401"/>
      <c r="G60" s="400">
        <v>0</v>
      </c>
    </row>
    <row r="61" spans="1:7" s="384" customFormat="1">
      <c r="A61" s="405">
        <v>3841</v>
      </c>
      <c r="B61" s="404"/>
      <c r="C61" s="395" t="s">
        <v>185</v>
      </c>
      <c r="D61" s="401"/>
      <c r="E61" s="400">
        <v>0</v>
      </c>
      <c r="F61" s="401"/>
      <c r="G61" s="400">
        <v>0</v>
      </c>
    </row>
    <row r="62" spans="1:7" s="384" customFormat="1">
      <c r="A62" s="408">
        <v>386</v>
      </c>
      <c r="B62" s="407"/>
      <c r="C62" s="406" t="s">
        <v>184</v>
      </c>
      <c r="D62" s="401"/>
      <c r="E62" s="400">
        <v>0</v>
      </c>
      <c r="F62" s="401"/>
      <c r="G62" s="400">
        <v>0</v>
      </c>
    </row>
    <row r="63" spans="1:7" s="384" customFormat="1" ht="25.5">
      <c r="A63" s="405">
        <v>387</v>
      </c>
      <c r="B63" s="404"/>
      <c r="C63" s="395" t="s">
        <v>183</v>
      </c>
      <c r="D63" s="401"/>
      <c r="E63" s="400">
        <v>0</v>
      </c>
      <c r="F63" s="401"/>
      <c r="G63" s="400">
        <v>0</v>
      </c>
    </row>
    <row r="64" spans="1:7" s="384" customFormat="1">
      <c r="A64" s="398">
        <v>389</v>
      </c>
      <c r="B64" s="399"/>
      <c r="C64" s="390" t="s">
        <v>182</v>
      </c>
      <c r="D64" s="317"/>
      <c r="E64" s="316">
        <v>0</v>
      </c>
      <c r="F64" s="317"/>
      <c r="G64" s="316">
        <v>0</v>
      </c>
    </row>
    <row r="65" spans="1:7" s="255" customFormat="1">
      <c r="A65" s="398" t="s">
        <v>181</v>
      </c>
      <c r="B65" s="392"/>
      <c r="C65" s="390" t="s">
        <v>180</v>
      </c>
      <c r="D65" s="317"/>
      <c r="E65" s="316">
        <v>0</v>
      </c>
      <c r="F65" s="317"/>
      <c r="G65" s="316">
        <v>0</v>
      </c>
    </row>
    <row r="66" spans="1:7" s="393" customFormat="1">
      <c r="A66" s="397" t="s">
        <v>179</v>
      </c>
      <c r="B66" s="396"/>
      <c r="C66" s="395" t="s">
        <v>178</v>
      </c>
      <c r="D66" s="343"/>
      <c r="E66" s="342">
        <v>0</v>
      </c>
      <c r="F66" s="343"/>
      <c r="G66" s="342">
        <v>0</v>
      </c>
    </row>
    <row r="67" spans="1:7" s="255" customFormat="1">
      <c r="A67" s="389">
        <v>481</v>
      </c>
      <c r="B67" s="392"/>
      <c r="C67" s="390" t="s">
        <v>177</v>
      </c>
      <c r="D67" s="317"/>
      <c r="E67" s="316">
        <v>0</v>
      </c>
      <c r="F67" s="317"/>
      <c r="G67" s="316">
        <v>0</v>
      </c>
    </row>
    <row r="68" spans="1:7" s="255" customFormat="1">
      <c r="A68" s="389">
        <v>482</v>
      </c>
      <c r="B68" s="392"/>
      <c r="C68" s="390" t="s">
        <v>176</v>
      </c>
      <c r="D68" s="317"/>
      <c r="E68" s="316">
        <v>0</v>
      </c>
      <c r="F68" s="317"/>
      <c r="G68" s="316">
        <v>0</v>
      </c>
    </row>
    <row r="69" spans="1:7" s="255" customFormat="1">
      <c r="A69" s="389">
        <v>483</v>
      </c>
      <c r="B69" s="392"/>
      <c r="C69" s="390" t="s">
        <v>175</v>
      </c>
      <c r="D69" s="317"/>
      <c r="E69" s="316">
        <v>0</v>
      </c>
      <c r="F69" s="317"/>
      <c r="G69" s="316">
        <v>0</v>
      </c>
    </row>
    <row r="70" spans="1:7" s="255" customFormat="1">
      <c r="A70" s="389">
        <v>484</v>
      </c>
      <c r="B70" s="392"/>
      <c r="C70" s="390" t="s">
        <v>174</v>
      </c>
      <c r="D70" s="317"/>
      <c r="E70" s="316">
        <v>0</v>
      </c>
      <c r="F70" s="317"/>
      <c r="G70" s="316">
        <v>0</v>
      </c>
    </row>
    <row r="71" spans="1:7" s="255" customFormat="1">
      <c r="A71" s="389">
        <v>485</v>
      </c>
      <c r="B71" s="392"/>
      <c r="C71" s="390" t="s">
        <v>173</v>
      </c>
      <c r="D71" s="317"/>
      <c r="E71" s="316">
        <v>0</v>
      </c>
      <c r="F71" s="317"/>
      <c r="G71" s="316">
        <v>0</v>
      </c>
    </row>
    <row r="72" spans="1:7" s="255" customFormat="1">
      <c r="A72" s="389">
        <v>486</v>
      </c>
      <c r="B72" s="392"/>
      <c r="C72" s="390" t="s">
        <v>172</v>
      </c>
      <c r="D72" s="317"/>
      <c r="E72" s="316">
        <v>0</v>
      </c>
      <c r="F72" s="317"/>
      <c r="G72" s="316">
        <v>0</v>
      </c>
    </row>
    <row r="73" spans="1:7" s="384" customFormat="1">
      <c r="A73" s="389">
        <v>487</v>
      </c>
      <c r="B73" s="391"/>
      <c r="C73" s="390" t="s">
        <v>171</v>
      </c>
      <c r="D73" s="317"/>
      <c r="E73" s="316">
        <v>0</v>
      </c>
      <c r="F73" s="317"/>
      <c r="G73" s="316">
        <v>0</v>
      </c>
    </row>
    <row r="74" spans="1:7" s="384" customFormat="1">
      <c r="A74" s="389">
        <v>489</v>
      </c>
      <c r="B74" s="386"/>
      <c r="C74" s="388" t="s">
        <v>170</v>
      </c>
      <c r="D74" s="317"/>
      <c r="E74" s="316">
        <v>0</v>
      </c>
      <c r="F74" s="317"/>
      <c r="G74" s="316">
        <v>0</v>
      </c>
    </row>
    <row r="75" spans="1:7" s="384" customFormat="1">
      <c r="A75" s="387" t="s">
        <v>169</v>
      </c>
      <c r="B75" s="386"/>
      <c r="C75" s="385" t="s">
        <v>168</v>
      </c>
      <c r="D75" s="317"/>
      <c r="E75" s="316">
        <v>0</v>
      </c>
      <c r="F75" s="317"/>
      <c r="G75" s="316">
        <v>0</v>
      </c>
    </row>
    <row r="76" spans="1:7">
      <c r="A76" s="383"/>
      <c r="B76" s="383"/>
      <c r="C76" s="381" t="s">
        <v>167</v>
      </c>
      <c r="D76" s="380">
        <f>SUM(D65:D74)-SUM(D57:D64)</f>
        <v>0</v>
      </c>
      <c r="E76" s="380">
        <f>SUM(E65:E74)-SUM(E57:E64)</f>
        <v>0</v>
      </c>
      <c r="F76" s="380">
        <f>SUM(F65:F74)-SUM(F57:F64)</f>
        <v>0</v>
      </c>
      <c r="G76" s="380">
        <f>SUM(G65:G74)-SUM(G57:G64)</f>
        <v>0</v>
      </c>
    </row>
    <row r="77" spans="1:7">
      <c r="A77" s="382"/>
      <c r="B77" s="382"/>
      <c r="C77" s="381" t="s">
        <v>166</v>
      </c>
      <c r="D77" s="380">
        <f>D56+D76</f>
        <v>0</v>
      </c>
      <c r="E77" s="380">
        <f>E56+E76</f>
        <v>29610.600000000384</v>
      </c>
      <c r="F77" s="380">
        <f>F56+F76</f>
        <v>-74640.402010001591</v>
      </c>
      <c r="G77" s="380">
        <f>G56+G76</f>
        <v>-1143.0336099998967</v>
      </c>
    </row>
    <row r="78" spans="1:7">
      <c r="A78" s="379">
        <v>3</v>
      </c>
      <c r="B78" s="379"/>
      <c r="C78" s="378" t="s">
        <v>165</v>
      </c>
      <c r="D78" s="377">
        <f>D20+D21+SUM(D38:D43)+SUM(D57:D64)</f>
        <v>0</v>
      </c>
      <c r="E78" s="377">
        <f>E20+E21+SUM(E38:E43)+SUM(E57:E64)</f>
        <v>5014539.8</v>
      </c>
      <c r="F78" s="377">
        <f>F20+F21+SUM(F38:F43)+SUM(F57:F64)</f>
        <v>4988221.0678000012</v>
      </c>
      <c r="G78" s="377">
        <f>G20+G21+SUM(G38:G43)+SUM(G57:G64)</f>
        <v>5206173.4379399996</v>
      </c>
    </row>
    <row r="79" spans="1:7">
      <c r="A79" s="379">
        <v>4</v>
      </c>
      <c r="B79" s="379"/>
      <c r="C79" s="378" t="s">
        <v>164</v>
      </c>
      <c r="D79" s="377">
        <f>D35+D36+SUM(D44:D53)+SUM(D65:D74)</f>
        <v>0</v>
      </c>
      <c r="E79" s="377">
        <f>E35+E36+SUM(E44:E53)+SUM(E65:E74)</f>
        <v>5044150.4000000004</v>
      </c>
      <c r="F79" s="377">
        <f>F35+F36+SUM(F44:F53)+SUM(F65:F74)</f>
        <v>4913580.6657899991</v>
      </c>
      <c r="G79" s="377">
        <f>G35+G36+SUM(G44:G53)+SUM(G65:G74)</f>
        <v>5205030.4043299994</v>
      </c>
    </row>
    <row r="80" spans="1:7">
      <c r="A80" s="259"/>
      <c r="B80" s="259"/>
      <c r="C80" s="261"/>
      <c r="D80" s="260"/>
      <c r="E80" s="260"/>
      <c r="F80" s="260"/>
      <c r="G80" s="260"/>
    </row>
    <row r="81" spans="1:7">
      <c r="A81" s="957" t="s">
        <v>163</v>
      </c>
      <c r="B81" s="958"/>
      <c r="C81" s="958"/>
      <c r="D81" s="376"/>
      <c r="E81" s="375"/>
      <c r="F81" s="376"/>
      <c r="G81" s="375"/>
    </row>
    <row r="82" spans="1:7" s="255" customFormat="1">
      <c r="A82" s="368">
        <v>50</v>
      </c>
      <c r="B82" s="366"/>
      <c r="C82" s="366" t="s">
        <v>162</v>
      </c>
      <c r="D82" s="317"/>
      <c r="E82" s="316">
        <v>250288.6</v>
      </c>
      <c r="F82" s="317">
        <v>194216.95009</v>
      </c>
      <c r="G82" s="316">
        <v>287211.86200000002</v>
      </c>
    </row>
    <row r="83" spans="1:7" s="255" customFormat="1">
      <c r="A83" s="368">
        <v>51</v>
      </c>
      <c r="B83" s="366"/>
      <c r="C83" s="366" t="s">
        <v>161</v>
      </c>
      <c r="D83" s="317"/>
      <c r="E83" s="316">
        <v>0</v>
      </c>
      <c r="F83" s="317">
        <v>80.029089999999997</v>
      </c>
      <c r="G83" s="316">
        <v>0</v>
      </c>
    </row>
    <row r="84" spans="1:7" s="255" customFormat="1">
      <c r="A84" s="368">
        <v>52</v>
      </c>
      <c r="B84" s="366"/>
      <c r="C84" s="366" t="s">
        <v>160</v>
      </c>
      <c r="D84" s="317"/>
      <c r="E84" s="316">
        <v>0</v>
      </c>
      <c r="F84" s="317">
        <v>0</v>
      </c>
      <c r="G84" s="316">
        <v>0</v>
      </c>
    </row>
    <row r="85" spans="1:7" s="255" customFormat="1">
      <c r="A85" s="371">
        <v>54</v>
      </c>
      <c r="B85" s="370"/>
      <c r="C85" s="370" t="s">
        <v>117</v>
      </c>
      <c r="D85" s="322"/>
      <c r="E85" s="316">
        <v>0</v>
      </c>
      <c r="F85" s="322">
        <v>0</v>
      </c>
      <c r="G85" s="316">
        <v>0</v>
      </c>
    </row>
    <row r="86" spans="1:7" s="255" customFormat="1">
      <c r="A86" s="371">
        <v>55</v>
      </c>
      <c r="B86" s="370"/>
      <c r="C86" s="370" t="s">
        <v>159</v>
      </c>
      <c r="D86" s="322"/>
      <c r="E86" s="316">
        <v>0</v>
      </c>
      <c r="F86" s="322">
        <v>0</v>
      </c>
      <c r="G86" s="316">
        <v>0</v>
      </c>
    </row>
    <row r="87" spans="1:7" s="255" customFormat="1">
      <c r="A87" s="371">
        <v>56</v>
      </c>
      <c r="B87" s="370"/>
      <c r="C87" s="370" t="s">
        <v>158</v>
      </c>
      <c r="D87" s="322"/>
      <c r="E87" s="316">
        <v>20336.5</v>
      </c>
      <c r="F87" s="322">
        <v>20269.296849999999</v>
      </c>
      <c r="G87" s="316">
        <v>30663.648000000001</v>
      </c>
    </row>
    <row r="88" spans="1:7" s="255" customFormat="1">
      <c r="A88" s="368">
        <v>57</v>
      </c>
      <c r="B88" s="366"/>
      <c r="C88" s="366" t="s">
        <v>143</v>
      </c>
      <c r="D88" s="317"/>
      <c r="E88" s="316">
        <v>5758.5</v>
      </c>
      <c r="F88" s="317">
        <v>2670.0371500000001</v>
      </c>
      <c r="G88" s="316">
        <v>4172</v>
      </c>
    </row>
    <row r="89" spans="1:7" s="255" customFormat="1">
      <c r="A89" s="368">
        <v>580</v>
      </c>
      <c r="B89" s="366"/>
      <c r="C89" s="366" t="s">
        <v>157</v>
      </c>
      <c r="D89" s="317"/>
      <c r="E89" s="316">
        <v>0</v>
      </c>
      <c r="F89" s="317">
        <v>0</v>
      </c>
      <c r="G89" s="316">
        <v>0</v>
      </c>
    </row>
    <row r="90" spans="1:7" s="255" customFormat="1">
      <c r="A90" s="368">
        <v>582</v>
      </c>
      <c r="B90" s="366"/>
      <c r="C90" s="366" t="s">
        <v>156</v>
      </c>
      <c r="D90" s="317"/>
      <c r="E90" s="316">
        <v>0</v>
      </c>
      <c r="F90" s="317">
        <v>0</v>
      </c>
      <c r="G90" s="316">
        <v>0</v>
      </c>
    </row>
    <row r="91" spans="1:7" s="255" customFormat="1">
      <c r="A91" s="368">
        <v>584</v>
      </c>
      <c r="B91" s="366"/>
      <c r="C91" s="366" t="s">
        <v>155</v>
      </c>
      <c r="D91" s="317"/>
      <c r="E91" s="316">
        <v>0</v>
      </c>
      <c r="F91" s="317">
        <v>0</v>
      </c>
      <c r="G91" s="316">
        <v>0</v>
      </c>
    </row>
    <row r="92" spans="1:7" s="255" customFormat="1">
      <c r="A92" s="368">
        <v>585</v>
      </c>
      <c r="B92" s="366"/>
      <c r="C92" s="366" t="s">
        <v>154</v>
      </c>
      <c r="D92" s="317"/>
      <c r="E92" s="316">
        <v>0</v>
      </c>
      <c r="F92" s="317">
        <v>0</v>
      </c>
      <c r="G92" s="316">
        <v>0</v>
      </c>
    </row>
    <row r="93" spans="1:7" s="255" customFormat="1">
      <c r="A93" s="368">
        <v>586</v>
      </c>
      <c r="B93" s="366"/>
      <c r="C93" s="366" t="s">
        <v>153</v>
      </c>
      <c r="D93" s="317"/>
      <c r="E93" s="316">
        <v>0</v>
      </c>
      <c r="F93" s="317">
        <v>0</v>
      </c>
      <c r="G93" s="316">
        <v>0</v>
      </c>
    </row>
    <row r="94" spans="1:7" s="255" customFormat="1">
      <c r="A94" s="374">
        <v>589</v>
      </c>
      <c r="B94" s="359"/>
      <c r="C94" s="359" t="s">
        <v>152</v>
      </c>
      <c r="D94" s="333"/>
      <c r="E94" s="372">
        <v>0</v>
      </c>
      <c r="F94" s="333">
        <v>0</v>
      </c>
      <c r="G94" s="372">
        <v>0</v>
      </c>
    </row>
    <row r="95" spans="1:7">
      <c r="A95" s="353">
        <v>5</v>
      </c>
      <c r="B95" s="351"/>
      <c r="C95" s="351" t="s">
        <v>151</v>
      </c>
      <c r="D95" s="348">
        <f>SUM(D82:D94)</f>
        <v>0</v>
      </c>
      <c r="E95" s="348">
        <f>SUM(E82:E94)</f>
        <v>276383.59999999998</v>
      </c>
      <c r="F95" s="348">
        <f>SUM(F82:F94)</f>
        <v>217236.31318</v>
      </c>
      <c r="G95" s="348">
        <f>SUM(G82:G94)</f>
        <v>322047.51</v>
      </c>
    </row>
    <row r="96" spans="1:7" s="255" customFormat="1">
      <c r="A96" s="368">
        <v>60</v>
      </c>
      <c r="B96" s="366"/>
      <c r="C96" s="366" t="s">
        <v>150</v>
      </c>
      <c r="D96" s="317"/>
      <c r="E96" s="316">
        <v>4250</v>
      </c>
      <c r="F96" s="317">
        <v>0</v>
      </c>
      <c r="G96" s="316">
        <v>5669</v>
      </c>
    </row>
    <row r="97" spans="1:7" s="255" customFormat="1">
      <c r="A97" s="368">
        <v>61</v>
      </c>
      <c r="B97" s="366"/>
      <c r="C97" s="366" t="s">
        <v>149</v>
      </c>
      <c r="D97" s="317"/>
      <c r="E97" s="316">
        <v>0</v>
      </c>
      <c r="F97" s="317">
        <v>80.029089999999997</v>
      </c>
      <c r="G97" s="316">
        <v>0</v>
      </c>
    </row>
    <row r="98" spans="1:7" s="255" customFormat="1">
      <c r="A98" s="368">
        <v>62</v>
      </c>
      <c r="B98" s="366"/>
      <c r="C98" s="366" t="s">
        <v>148</v>
      </c>
      <c r="D98" s="317"/>
      <c r="E98" s="316">
        <v>0</v>
      </c>
      <c r="F98" s="317">
        <v>0</v>
      </c>
      <c r="G98" s="316">
        <v>0</v>
      </c>
    </row>
    <row r="99" spans="1:7" s="255" customFormat="1">
      <c r="A99" s="368">
        <v>63</v>
      </c>
      <c r="B99" s="366"/>
      <c r="C99" s="366" t="s">
        <v>147</v>
      </c>
      <c r="D99" s="317"/>
      <c r="E99" s="316">
        <v>83121.7</v>
      </c>
      <c r="F99" s="317">
        <v>60823.168790000003</v>
      </c>
      <c r="G99" s="316">
        <v>94613.69</v>
      </c>
    </row>
    <row r="100" spans="1:7" s="255" customFormat="1">
      <c r="A100" s="371">
        <v>64</v>
      </c>
      <c r="B100" s="370"/>
      <c r="C100" s="370" t="s">
        <v>146</v>
      </c>
      <c r="D100" s="322"/>
      <c r="E100" s="316">
        <v>0</v>
      </c>
      <c r="F100" s="322">
        <v>0</v>
      </c>
      <c r="G100" s="316">
        <v>0</v>
      </c>
    </row>
    <row r="101" spans="1:7" s="255" customFormat="1">
      <c r="A101" s="371">
        <v>65</v>
      </c>
      <c r="B101" s="370"/>
      <c r="C101" s="370" t="s">
        <v>145</v>
      </c>
      <c r="D101" s="322"/>
      <c r="E101" s="316">
        <v>0</v>
      </c>
      <c r="F101" s="322">
        <v>0</v>
      </c>
      <c r="G101" s="316">
        <v>0</v>
      </c>
    </row>
    <row r="102" spans="1:7" s="255" customFormat="1">
      <c r="A102" s="371">
        <v>66</v>
      </c>
      <c r="B102" s="370"/>
      <c r="C102" s="370" t="s">
        <v>144</v>
      </c>
      <c r="D102" s="322"/>
      <c r="E102" s="316">
        <v>20</v>
      </c>
      <c r="F102" s="322">
        <v>0</v>
      </c>
      <c r="G102" s="316">
        <v>0</v>
      </c>
    </row>
    <row r="103" spans="1:7" s="255" customFormat="1">
      <c r="A103" s="368">
        <v>67</v>
      </c>
      <c r="B103" s="366"/>
      <c r="C103" s="366" t="s">
        <v>143</v>
      </c>
      <c r="D103" s="317"/>
      <c r="E103" s="361">
        <v>5758.5</v>
      </c>
      <c r="F103" s="317">
        <v>2670.0371500000001</v>
      </c>
      <c r="G103" s="361">
        <v>4172</v>
      </c>
    </row>
    <row r="104" spans="1:7" s="255" customFormat="1" ht="25.5">
      <c r="A104" s="367" t="s">
        <v>142</v>
      </c>
      <c r="B104" s="366"/>
      <c r="C104" s="365" t="s">
        <v>141</v>
      </c>
      <c r="D104" s="362"/>
      <c r="E104" s="361">
        <v>0</v>
      </c>
      <c r="F104" s="362">
        <v>0</v>
      </c>
      <c r="G104" s="361">
        <v>0</v>
      </c>
    </row>
    <row r="105" spans="1:7" s="255" customFormat="1" ht="38.25">
      <c r="A105" s="360" t="s">
        <v>140</v>
      </c>
      <c r="B105" s="359"/>
      <c r="C105" s="358" t="s">
        <v>139</v>
      </c>
      <c r="D105" s="355"/>
      <c r="E105" s="354">
        <v>0</v>
      </c>
      <c r="F105" s="355">
        <v>0</v>
      </c>
      <c r="G105" s="354">
        <v>0</v>
      </c>
    </row>
    <row r="106" spans="1:7">
      <c r="A106" s="353">
        <v>6</v>
      </c>
      <c r="B106" s="351"/>
      <c r="C106" s="351" t="s">
        <v>138</v>
      </c>
      <c r="D106" s="348">
        <f>SUM(D96:D105)</f>
        <v>0</v>
      </c>
      <c r="E106" s="348">
        <f>SUM(E96:E105)</f>
        <v>93150.2</v>
      </c>
      <c r="F106" s="348">
        <f>SUM(F96:F105)</f>
        <v>63573.235030000011</v>
      </c>
      <c r="G106" s="348">
        <f>SUM(G96:G105)</f>
        <v>104454.69</v>
      </c>
    </row>
    <row r="107" spans="1:7">
      <c r="A107" s="352" t="s">
        <v>137</v>
      </c>
      <c r="B107" s="352"/>
      <c r="C107" s="351" t="s">
        <v>3</v>
      </c>
      <c r="D107" s="348">
        <f>(D95-D88)-(D106-D103)</f>
        <v>0</v>
      </c>
      <c r="E107" s="348">
        <f>(E95-E88)-(E106-E103)</f>
        <v>183233.39999999997</v>
      </c>
      <c r="F107" s="348">
        <f>(F95-F88)-(F106-F103)</f>
        <v>153663.07815000002</v>
      </c>
      <c r="G107" s="348">
        <f>(G95-G88)-(G106-G103)</f>
        <v>217592.82</v>
      </c>
    </row>
    <row r="108" spans="1:7">
      <c r="A108" s="350" t="s">
        <v>136</v>
      </c>
      <c r="B108" s="350"/>
      <c r="C108" s="349" t="s">
        <v>135</v>
      </c>
      <c r="D108" s="348">
        <f>D107-D85-D86+D100+D101</f>
        <v>0</v>
      </c>
      <c r="E108" s="348">
        <f>E107-E85-E86+E100+E101</f>
        <v>183233.39999999997</v>
      </c>
      <c r="F108" s="348">
        <f>F107-F85-F86+F100+F101</f>
        <v>153663.07815000002</v>
      </c>
      <c r="G108" s="348">
        <f>G107-G85-G86+G100+G101</f>
        <v>217592.82</v>
      </c>
    </row>
    <row r="109" spans="1:7">
      <c r="A109" s="259"/>
      <c r="B109" s="259"/>
      <c r="C109" s="261"/>
      <c r="D109" s="260"/>
      <c r="E109" s="260"/>
      <c r="F109" s="260"/>
      <c r="G109" s="260"/>
    </row>
    <row r="110" spans="1:7" s="294" customFormat="1">
      <c r="A110" s="346" t="s">
        <v>134</v>
      </c>
      <c r="B110" s="347"/>
      <c r="C110" s="346"/>
      <c r="D110" s="260"/>
      <c r="E110" s="260"/>
      <c r="F110" s="260"/>
      <c r="G110" s="260"/>
    </row>
    <row r="111" spans="1:7" s="298" customFormat="1">
      <c r="A111" s="331">
        <v>10</v>
      </c>
      <c r="B111" s="330"/>
      <c r="C111" s="330" t="s">
        <v>133</v>
      </c>
      <c r="D111" s="327">
        <f>D112+D117</f>
        <v>0</v>
      </c>
      <c r="E111" s="326">
        <f>E112+E117</f>
        <v>0</v>
      </c>
      <c r="F111" s="327">
        <f>F112+F117</f>
        <v>1344006.3283199996</v>
      </c>
      <c r="G111" s="326">
        <f>G112+G117</f>
        <v>0</v>
      </c>
    </row>
    <row r="112" spans="1:7" s="298" customFormat="1">
      <c r="A112" s="340" t="s">
        <v>132</v>
      </c>
      <c r="B112" s="307"/>
      <c r="C112" s="307" t="s">
        <v>131</v>
      </c>
      <c r="D112" s="327">
        <f>D113+D114+D115+D116</f>
        <v>0</v>
      </c>
      <c r="E112" s="326">
        <f>E113+E114+E115+E116</f>
        <v>0</v>
      </c>
      <c r="F112" s="327">
        <f>F113+F114+F115+F116</f>
        <v>1320631.3789999997</v>
      </c>
      <c r="G112" s="326">
        <f>G113+G114+G115+G116</f>
        <v>0</v>
      </c>
    </row>
    <row r="113" spans="1:7" s="298" customFormat="1">
      <c r="A113" s="337" t="s">
        <v>130</v>
      </c>
      <c r="B113" s="319"/>
      <c r="C113" s="319" t="s">
        <v>129</v>
      </c>
      <c r="D113" s="317"/>
      <c r="E113" s="316"/>
      <c r="F113" s="317">
        <v>1006784.8385599999</v>
      </c>
      <c r="G113" s="316"/>
    </row>
    <row r="114" spans="1:7" s="341" customFormat="1" ht="15" customHeight="1">
      <c r="A114" s="314">
        <v>102</v>
      </c>
      <c r="B114" s="345"/>
      <c r="C114" s="345" t="s">
        <v>128</v>
      </c>
      <c r="D114" s="343"/>
      <c r="E114" s="342"/>
      <c r="F114" s="343">
        <v>1100</v>
      </c>
      <c r="G114" s="342"/>
    </row>
    <row r="115" spans="1:7" s="298" customFormat="1">
      <c r="A115" s="337">
        <v>104</v>
      </c>
      <c r="B115" s="319"/>
      <c r="C115" s="319" t="s">
        <v>127</v>
      </c>
      <c r="D115" s="317"/>
      <c r="E115" s="316"/>
      <c r="F115" s="317">
        <v>308130.2304</v>
      </c>
      <c r="G115" s="316"/>
    </row>
    <row r="116" spans="1:7" s="298" customFormat="1">
      <c r="A116" s="337">
        <v>106</v>
      </c>
      <c r="B116" s="319"/>
      <c r="C116" s="319" t="s">
        <v>126</v>
      </c>
      <c r="D116" s="317"/>
      <c r="E116" s="316"/>
      <c r="F116" s="317">
        <v>4616.3100400000003</v>
      </c>
      <c r="G116" s="316"/>
    </row>
    <row r="117" spans="1:7" s="298" customFormat="1">
      <c r="A117" s="340" t="s">
        <v>125</v>
      </c>
      <c r="B117" s="307"/>
      <c r="C117" s="307" t="s">
        <v>124</v>
      </c>
      <c r="D117" s="327">
        <f>D118+D119+D120</f>
        <v>0</v>
      </c>
      <c r="E117" s="326">
        <f>E118+E119+E120</f>
        <v>0</v>
      </c>
      <c r="F117" s="327">
        <f>F118+F119+F120</f>
        <v>23374.94932</v>
      </c>
      <c r="G117" s="326">
        <f>G118+G119+G120</f>
        <v>0</v>
      </c>
    </row>
    <row r="118" spans="1:7" s="298" customFormat="1">
      <c r="A118" s="337">
        <v>107</v>
      </c>
      <c r="B118" s="319"/>
      <c r="C118" s="319" t="s">
        <v>123</v>
      </c>
      <c r="D118" s="317"/>
      <c r="E118" s="316"/>
      <c r="F118" s="317">
        <v>12015.972320000001</v>
      </c>
      <c r="G118" s="316"/>
    </row>
    <row r="119" spans="1:7" s="298" customFormat="1">
      <c r="A119" s="337">
        <v>108</v>
      </c>
      <c r="B119" s="319"/>
      <c r="C119" s="319" t="s">
        <v>122</v>
      </c>
      <c r="D119" s="317"/>
      <c r="E119" s="316"/>
      <c r="F119" s="317">
        <v>11358.976999999999</v>
      </c>
      <c r="G119" s="316"/>
    </row>
    <row r="120" spans="1:7" s="338" customFormat="1" ht="25.5">
      <c r="A120" s="314">
        <v>109</v>
      </c>
      <c r="B120" s="313"/>
      <c r="C120" s="313" t="s">
        <v>121</v>
      </c>
      <c r="D120" s="311"/>
      <c r="E120" s="310"/>
      <c r="F120" s="311"/>
      <c r="G120" s="310"/>
    </row>
    <row r="121" spans="1:7" s="298" customFormat="1">
      <c r="A121" s="340">
        <v>14</v>
      </c>
      <c r="B121" s="307"/>
      <c r="C121" s="307" t="s">
        <v>120</v>
      </c>
      <c r="D121" s="327">
        <f>SUM(D122:D130)</f>
        <v>0</v>
      </c>
      <c r="E121" s="327">
        <f>SUM(E122:E130)</f>
        <v>0</v>
      </c>
      <c r="F121" s="327">
        <f>SUM(F122:F130)</f>
        <v>2028408.0173200001</v>
      </c>
      <c r="G121" s="327">
        <f>SUM(G122:G130)</f>
        <v>0</v>
      </c>
    </row>
    <row r="122" spans="1:7" s="298" customFormat="1">
      <c r="A122" s="337" t="s">
        <v>119</v>
      </c>
      <c r="B122" s="319"/>
      <c r="C122" s="319" t="s">
        <v>118</v>
      </c>
      <c r="D122" s="317"/>
      <c r="E122" s="316"/>
      <c r="F122" s="317">
        <v>974488.13984000008</v>
      </c>
      <c r="G122" s="316"/>
    </row>
    <row r="123" spans="1:7" s="298" customFormat="1">
      <c r="A123" s="337">
        <v>144</v>
      </c>
      <c r="B123" s="319"/>
      <c r="C123" s="319" t="s">
        <v>117</v>
      </c>
      <c r="D123" s="317"/>
      <c r="E123" s="316"/>
      <c r="F123" s="317">
        <v>276327.99647999997</v>
      </c>
      <c r="G123" s="316"/>
    </row>
    <row r="124" spans="1:7" s="298" customFormat="1">
      <c r="A124" s="337">
        <v>145</v>
      </c>
      <c r="B124" s="319"/>
      <c r="C124" s="319" t="s">
        <v>116</v>
      </c>
      <c r="D124" s="317"/>
      <c r="E124" s="304"/>
      <c r="F124" s="317">
        <v>777591.88100000005</v>
      </c>
      <c r="G124" s="304"/>
    </row>
    <row r="125" spans="1:7" s="298" customFormat="1">
      <c r="A125" s="337">
        <v>146</v>
      </c>
      <c r="B125" s="319"/>
      <c r="C125" s="319" t="s">
        <v>115</v>
      </c>
      <c r="D125" s="317"/>
      <c r="E125" s="304"/>
      <c r="F125" s="317">
        <v>0</v>
      </c>
      <c r="G125" s="304"/>
    </row>
    <row r="126" spans="1:7" s="338" customFormat="1" ht="29.45" customHeight="1">
      <c r="A126" s="314" t="s">
        <v>114</v>
      </c>
      <c r="B126" s="313"/>
      <c r="C126" s="313" t="s">
        <v>113</v>
      </c>
      <c r="D126" s="311"/>
      <c r="E126" s="339"/>
      <c r="F126" s="317">
        <v>0</v>
      </c>
      <c r="G126" s="339"/>
    </row>
    <row r="127" spans="1:7" s="298" customFormat="1">
      <c r="A127" s="337">
        <v>1484</v>
      </c>
      <c r="B127" s="319"/>
      <c r="C127" s="319" t="s">
        <v>112</v>
      </c>
      <c r="D127" s="317"/>
      <c r="E127" s="304"/>
      <c r="F127" s="317">
        <v>0</v>
      </c>
      <c r="G127" s="304"/>
    </row>
    <row r="128" spans="1:7" s="298" customFormat="1">
      <c r="A128" s="337">
        <v>1485</v>
      </c>
      <c r="B128" s="319"/>
      <c r="C128" s="319" t="s">
        <v>111</v>
      </c>
      <c r="D128" s="317"/>
      <c r="E128" s="304"/>
      <c r="F128" s="317">
        <v>0</v>
      </c>
      <c r="G128" s="304"/>
    </row>
    <row r="129" spans="1:7" s="298" customFormat="1">
      <c r="A129" s="337">
        <v>1486</v>
      </c>
      <c r="B129" s="319"/>
      <c r="C129" s="319" t="s">
        <v>110</v>
      </c>
      <c r="D129" s="317"/>
      <c r="E129" s="304"/>
      <c r="F129" s="317">
        <v>0</v>
      </c>
      <c r="G129" s="304"/>
    </row>
    <row r="130" spans="1:7" s="298" customFormat="1">
      <c r="A130" s="336">
        <v>1489</v>
      </c>
      <c r="B130" s="335"/>
      <c r="C130" s="335" t="s">
        <v>109</v>
      </c>
      <c r="D130" s="333"/>
      <c r="E130" s="332"/>
      <c r="F130" s="333">
        <v>0</v>
      </c>
      <c r="G130" s="332"/>
    </row>
    <row r="131" spans="1:7" s="294" customFormat="1">
      <c r="A131" s="296">
        <v>1</v>
      </c>
      <c r="B131" s="297"/>
      <c r="C131" s="296" t="s">
        <v>108</v>
      </c>
      <c r="D131" s="295">
        <f>D111+D121</f>
        <v>0</v>
      </c>
      <c r="E131" s="295">
        <f>E111+E121</f>
        <v>0</v>
      </c>
      <c r="F131" s="295">
        <f>F111+F121</f>
        <v>3372414.34564</v>
      </c>
      <c r="G131" s="295">
        <f>G111+G121</f>
        <v>0</v>
      </c>
    </row>
    <row r="132" spans="1:7" s="294" customFormat="1">
      <c r="A132" s="259"/>
      <c r="B132" s="259"/>
      <c r="C132" s="261"/>
      <c r="D132" s="260"/>
      <c r="E132" s="260"/>
      <c r="F132" s="260"/>
      <c r="G132" s="260"/>
    </row>
    <row r="133" spans="1:7" s="298" customFormat="1">
      <c r="A133" s="331">
        <v>20</v>
      </c>
      <c r="B133" s="330"/>
      <c r="C133" s="330" t="s">
        <v>107</v>
      </c>
      <c r="D133" s="329">
        <f>D134+D140</f>
        <v>0</v>
      </c>
      <c r="E133" s="329">
        <f>E134+E140</f>
        <v>0</v>
      </c>
      <c r="F133" s="329">
        <f>F134+F140</f>
        <v>2957866.9876700002</v>
      </c>
      <c r="G133" s="329">
        <f>G134+G140</f>
        <v>0</v>
      </c>
    </row>
    <row r="134" spans="1:7" s="298" customFormat="1">
      <c r="A134" s="308" t="s">
        <v>106</v>
      </c>
      <c r="B134" s="307"/>
      <c r="C134" s="307" t="s">
        <v>105</v>
      </c>
      <c r="D134" s="327">
        <f>D135+D136+D138+D139</f>
        <v>0</v>
      </c>
      <c r="E134" s="326">
        <f>E135+E136+E138+E139</f>
        <v>0</v>
      </c>
      <c r="F134" s="327">
        <f>F135+F136+F138+F139</f>
        <v>1619978.3478300001</v>
      </c>
      <c r="G134" s="326">
        <f>G135+G136+G138+G139</f>
        <v>0</v>
      </c>
    </row>
    <row r="135" spans="1:7" s="315" customFormat="1">
      <c r="A135" s="320">
        <v>200</v>
      </c>
      <c r="B135" s="319"/>
      <c r="C135" s="319" t="s">
        <v>104</v>
      </c>
      <c r="D135" s="317"/>
      <c r="E135" s="316"/>
      <c r="F135" s="317">
        <v>618241.63059000007</v>
      </c>
      <c r="G135" s="316"/>
    </row>
    <row r="136" spans="1:7" s="315" customFormat="1">
      <c r="A136" s="320">
        <v>201</v>
      </c>
      <c r="B136" s="319"/>
      <c r="C136" s="319" t="s">
        <v>103</v>
      </c>
      <c r="D136" s="317"/>
      <c r="E136" s="316"/>
      <c r="F136" s="317">
        <v>388000</v>
      </c>
      <c r="G136" s="316"/>
    </row>
    <row r="137" spans="1:7" s="315" customFormat="1">
      <c r="A137" s="325" t="s">
        <v>102</v>
      </c>
      <c r="B137" s="324"/>
      <c r="C137" s="324" t="s">
        <v>101</v>
      </c>
      <c r="D137" s="322"/>
      <c r="E137" s="328"/>
      <c r="F137" s="322">
        <v>0</v>
      </c>
      <c r="G137" s="328"/>
    </row>
    <row r="138" spans="1:7" s="315" customFormat="1">
      <c r="A138" s="320">
        <v>204</v>
      </c>
      <c r="B138" s="319"/>
      <c r="C138" s="319" t="s">
        <v>100</v>
      </c>
      <c r="D138" s="317"/>
      <c r="E138" s="304"/>
      <c r="F138" s="317">
        <v>601336.65943999996</v>
      </c>
      <c r="G138" s="304"/>
    </row>
    <row r="139" spans="1:7" s="315" customFormat="1">
      <c r="A139" s="320">
        <v>205</v>
      </c>
      <c r="B139" s="319"/>
      <c r="C139" s="319" t="s">
        <v>99</v>
      </c>
      <c r="D139" s="317"/>
      <c r="E139" s="304"/>
      <c r="F139" s="317">
        <v>12400.0578</v>
      </c>
      <c r="G139" s="304"/>
    </row>
    <row r="140" spans="1:7" s="315" customFormat="1">
      <c r="A140" s="308" t="s">
        <v>98</v>
      </c>
      <c r="B140" s="307"/>
      <c r="C140" s="307" t="s">
        <v>97</v>
      </c>
      <c r="D140" s="327">
        <f>D141+D143+D144</f>
        <v>0</v>
      </c>
      <c r="E140" s="326">
        <f>E141+E143+E144</f>
        <v>0</v>
      </c>
      <c r="F140" s="327">
        <f>F141+F143+F144</f>
        <v>1337888.6398400001</v>
      </c>
      <c r="G140" s="326">
        <f>G141+G143+G144</f>
        <v>0</v>
      </c>
    </row>
    <row r="141" spans="1:7" s="315" customFormat="1">
      <c r="A141" s="320">
        <v>206</v>
      </c>
      <c r="B141" s="319"/>
      <c r="C141" s="319" t="s">
        <v>96</v>
      </c>
      <c r="D141" s="317"/>
      <c r="E141" s="304"/>
      <c r="F141" s="317">
        <v>1212000</v>
      </c>
      <c r="G141" s="304"/>
    </row>
    <row r="142" spans="1:7" s="315" customFormat="1">
      <c r="A142" s="325" t="s">
        <v>95</v>
      </c>
      <c r="B142" s="324"/>
      <c r="C142" s="324" t="s">
        <v>94</v>
      </c>
      <c r="D142" s="322"/>
      <c r="E142" s="321"/>
      <c r="F142" s="322">
        <v>0</v>
      </c>
      <c r="G142" s="321"/>
    </row>
    <row r="143" spans="1:7" s="315" customFormat="1">
      <c r="A143" s="320">
        <v>208</v>
      </c>
      <c r="B143" s="319"/>
      <c r="C143" s="319" t="s">
        <v>93</v>
      </c>
      <c r="D143" s="317"/>
      <c r="E143" s="316"/>
      <c r="F143" s="317">
        <v>33144.586199999998</v>
      </c>
      <c r="G143" s="316"/>
    </row>
    <row r="144" spans="1:7" s="309" customFormat="1" ht="25.5">
      <c r="A144" s="314">
        <v>209</v>
      </c>
      <c r="B144" s="313"/>
      <c r="C144" s="313" t="s">
        <v>92</v>
      </c>
      <c r="D144" s="311"/>
      <c r="E144" s="310"/>
      <c r="F144" s="311">
        <v>92744.053639999998</v>
      </c>
      <c r="G144" s="310"/>
    </row>
    <row r="145" spans="1:7" s="298" customFormat="1">
      <c r="A145" s="308">
        <v>29</v>
      </c>
      <c r="B145" s="307"/>
      <c r="C145" s="307" t="s">
        <v>61</v>
      </c>
      <c r="D145" s="305"/>
      <c r="E145" s="304"/>
      <c r="F145" s="305">
        <v>414547.35797000013</v>
      </c>
      <c r="G145" s="304"/>
    </row>
    <row r="146" spans="1:7" s="298" customFormat="1">
      <c r="A146" s="303" t="s">
        <v>91</v>
      </c>
      <c r="B146" s="302"/>
      <c r="C146" s="302" t="s">
        <v>90</v>
      </c>
      <c r="D146" s="300"/>
      <c r="E146" s="299"/>
      <c r="F146" s="300">
        <v>353421.85288000002</v>
      </c>
      <c r="G146" s="299"/>
    </row>
    <row r="147" spans="1:7" s="294" customFormat="1">
      <c r="A147" s="296">
        <v>2</v>
      </c>
      <c r="B147" s="297"/>
      <c r="C147" s="296" t="s">
        <v>89</v>
      </c>
      <c r="D147" s="295">
        <f>D133+D145</f>
        <v>0</v>
      </c>
      <c r="E147" s="295">
        <f>E133+E145</f>
        <v>0</v>
      </c>
      <c r="F147" s="295">
        <f>F133+F145</f>
        <v>3372414.3456400004</v>
      </c>
      <c r="G147" s="295">
        <f>G133+G145</f>
        <v>0</v>
      </c>
    </row>
    <row r="148" spans="1:7" ht="7.5" customHeight="1">
      <c r="D148" s="294"/>
      <c r="F148" s="294"/>
    </row>
    <row r="149" spans="1:7" ht="13.5" customHeight="1">
      <c r="A149" s="293" t="s">
        <v>88</v>
      </c>
      <c r="B149" s="291"/>
      <c r="C149" s="292" t="s">
        <v>87</v>
      </c>
      <c r="D149" s="291"/>
      <c r="E149" s="291"/>
      <c r="F149" s="291"/>
      <c r="G149" s="291"/>
    </row>
    <row r="150" spans="1:7">
      <c r="A150" s="278" t="s">
        <v>86</v>
      </c>
      <c r="B150" s="272"/>
      <c r="C150" s="272" t="s">
        <v>85</v>
      </c>
      <c r="D150" s="268">
        <f>D77+SUM(D8:D12)-D30-D31+D16-D33+D59+D63-D73+D64-D74-D54+D20-D35</f>
        <v>0</v>
      </c>
      <c r="E150" s="268">
        <f>E77+SUM(E8:E12)-E30-E31+E16-E33+E59+E63-E73+E64-E74-E54+E20-E35</f>
        <v>96080.900000000431</v>
      </c>
      <c r="F150" s="268">
        <f>F77+SUM(F8:F12)-F30-F31+F16-F33+F59+F63-F73+F64-F74-F54+F20-F35</f>
        <v>-920.04651000161539</v>
      </c>
      <c r="G150" s="268">
        <f>G77+SUM(G8:G12)-G30-G31+G16-G33+G59+G63-G73+G64-G74-G54+G20-G35</f>
        <v>290473.05233000009</v>
      </c>
    </row>
    <row r="151" spans="1:7">
      <c r="A151" s="267" t="s">
        <v>84</v>
      </c>
      <c r="B151" s="266"/>
      <c r="C151" s="266" t="s">
        <v>83</v>
      </c>
      <c r="D151" s="269">
        <f>IF(D177=0,0,D150/D177)</f>
        <v>0</v>
      </c>
      <c r="E151" s="269">
        <f>IF(E177=0,0,E150/E177)</f>
        <v>2.1216386210220182E-2</v>
      </c>
      <c r="F151" s="269">
        <f>IF(F177=0,0,F150/F177)</f>
        <v>-2.0644229328996356E-4</v>
      </c>
      <c r="G151" s="269">
        <f>IF(G177=0,0,G150/G177)</f>
        <v>6.2025386145222045E-2</v>
      </c>
    </row>
    <row r="152" spans="1:7" s="285" customFormat="1" ht="25.5">
      <c r="A152" s="275" t="s">
        <v>81</v>
      </c>
      <c r="B152" s="290"/>
      <c r="C152" s="290" t="s">
        <v>82</v>
      </c>
      <c r="D152" s="289">
        <f>IF(D107=0,0,D150/D107)</f>
        <v>0</v>
      </c>
      <c r="E152" s="289">
        <f>IF(E107=0,0,E150/E107)</f>
        <v>0.52436346211989981</v>
      </c>
      <c r="F152" s="289">
        <f>IF(F107=0,0,F150/F107)</f>
        <v>-5.9874273057546144E-3</v>
      </c>
      <c r="G152" s="289">
        <f>IF(G107=0,0,G150/G107)</f>
        <v>1.3349385900233293</v>
      </c>
    </row>
    <row r="153" spans="1:7" s="285" customFormat="1" ht="25.5">
      <c r="A153" s="288" t="s">
        <v>81</v>
      </c>
      <c r="B153" s="287"/>
      <c r="C153" s="287" t="s">
        <v>80</v>
      </c>
      <c r="D153" s="286">
        <f>IF(0=D108,0,D150/D108)</f>
        <v>0</v>
      </c>
      <c r="E153" s="286">
        <f>IF(0=E108,0,E150/E108)</f>
        <v>0.52436346211989981</v>
      </c>
      <c r="F153" s="286">
        <f>IF(0=F108,0,F150/F108)</f>
        <v>-5.9874273057546144E-3</v>
      </c>
      <c r="G153" s="286">
        <f>IF(0=G108,0,G150/G108)</f>
        <v>1.3349385900233293</v>
      </c>
    </row>
    <row r="154" spans="1:7" ht="25.5">
      <c r="A154" s="284" t="s">
        <v>79</v>
      </c>
      <c r="B154" s="283"/>
      <c r="C154" s="283" t="s">
        <v>78</v>
      </c>
      <c r="D154" s="282">
        <f>D150-D107</f>
        <v>0</v>
      </c>
      <c r="E154" s="282">
        <f>E150-E107</f>
        <v>-87152.499999999534</v>
      </c>
      <c r="F154" s="282">
        <f>F150-F107</f>
        <v>-154583.12466000163</v>
      </c>
      <c r="G154" s="282">
        <f>G150-G107</f>
        <v>72880.232330000086</v>
      </c>
    </row>
    <row r="155" spans="1:7" ht="25.5">
      <c r="A155" s="281" t="s">
        <v>77</v>
      </c>
      <c r="B155" s="280"/>
      <c r="C155" s="280" t="s">
        <v>76</v>
      </c>
      <c r="D155" s="279">
        <f>D150-D108</f>
        <v>0</v>
      </c>
      <c r="E155" s="279">
        <f>E150-E108</f>
        <v>-87152.499999999534</v>
      </c>
      <c r="F155" s="279">
        <f>F150-F108</f>
        <v>-154583.12466000163</v>
      </c>
      <c r="G155" s="279">
        <f>G150-G108</f>
        <v>72880.232330000086</v>
      </c>
    </row>
    <row r="156" spans="1:7">
      <c r="A156" s="278" t="s">
        <v>75</v>
      </c>
      <c r="B156" s="272"/>
      <c r="C156" s="272" t="s">
        <v>74</v>
      </c>
      <c r="D156" s="277">
        <f>D135+D136-D137+D141-D142</f>
        <v>0</v>
      </c>
      <c r="E156" s="277">
        <f>E135+E136-E137+E141-E142</f>
        <v>0</v>
      </c>
      <c r="F156" s="277">
        <f>F135+F136-F137+F141-F142</f>
        <v>2218241.6305900002</v>
      </c>
      <c r="G156" s="277">
        <f>G135+G136-G137+G141-G142</f>
        <v>0</v>
      </c>
    </row>
    <row r="157" spans="1:7">
      <c r="A157" s="271" t="s">
        <v>73</v>
      </c>
      <c r="B157" s="270"/>
      <c r="C157" s="270" t="s">
        <v>72</v>
      </c>
      <c r="D157" s="273">
        <f>IF(D177=0,0,D156/D177)</f>
        <v>0</v>
      </c>
      <c r="E157" s="273">
        <f>IF(E177=0,0,E156/E177)</f>
        <v>0</v>
      </c>
      <c r="F157" s="273">
        <f>IF(F177=0,0,F156/F177)</f>
        <v>0.49773449962813704</v>
      </c>
      <c r="G157" s="273">
        <f>IF(G177=0,0,G156/G177)</f>
        <v>0</v>
      </c>
    </row>
    <row r="158" spans="1:7">
      <c r="A158" s="278" t="s">
        <v>71</v>
      </c>
      <c r="B158" s="272"/>
      <c r="C158" s="272" t="s">
        <v>70</v>
      </c>
      <c r="D158" s="277">
        <f>D133-D142-D111</f>
        <v>0</v>
      </c>
      <c r="E158" s="277">
        <f>E133-E142-E111</f>
        <v>0</v>
      </c>
      <c r="F158" s="277">
        <f>F133-F142-F111</f>
        <v>1613860.6593500006</v>
      </c>
      <c r="G158" s="277">
        <f>G133-G142-G111</f>
        <v>0</v>
      </c>
    </row>
    <row r="159" spans="1:7">
      <c r="A159" s="267" t="s">
        <v>69</v>
      </c>
      <c r="B159" s="266"/>
      <c r="C159" s="266" t="s">
        <v>68</v>
      </c>
      <c r="D159" s="265">
        <f>D121-D123-D124-D142-D145</f>
        <v>0</v>
      </c>
      <c r="E159" s="265">
        <f>E121-E123-E124-E142-E145</f>
        <v>0</v>
      </c>
      <c r="F159" s="265">
        <f>F121-F123-F124-F142-F145</f>
        <v>559940.78186999995</v>
      </c>
      <c r="G159" s="265">
        <f>G121-G123-G124-G142-G145</f>
        <v>0</v>
      </c>
    </row>
    <row r="160" spans="1:7">
      <c r="A160" s="267" t="s">
        <v>66</v>
      </c>
      <c r="B160" s="266"/>
      <c r="C160" s="266" t="s">
        <v>67</v>
      </c>
      <c r="D160" s="276" t="str">
        <f>IF(D175=0,"-",1000*D158/D175)</f>
        <v>-</v>
      </c>
      <c r="E160" s="276">
        <f>IF(E175=0,"-",1000*E158/E175)</f>
        <v>0</v>
      </c>
      <c r="F160" s="276">
        <f>IF(F175=0,"-",1000*F158/F175)</f>
        <v>2502.7691939736064</v>
      </c>
      <c r="G160" s="276">
        <f>IF(G175=0,"-",1000*G158/G175)</f>
        <v>0</v>
      </c>
    </row>
    <row r="161" spans="1:7">
      <c r="A161" s="267" t="s">
        <v>66</v>
      </c>
      <c r="B161" s="266"/>
      <c r="C161" s="266" t="s">
        <v>65</v>
      </c>
      <c r="D161" s="265">
        <f>IF(D175=0,0,1000*(D159/D175))</f>
        <v>0</v>
      </c>
      <c r="E161" s="265">
        <f>IF(E175=0,0,1000*(E159/E175))</f>
        <v>0</v>
      </c>
      <c r="F161" s="265">
        <f>IF(F175=0,0,1000*(F159/F175))</f>
        <v>868.3541117348758</v>
      </c>
      <c r="G161" s="265">
        <f>IF(G175=0,0,1000*(G159/G175))</f>
        <v>0</v>
      </c>
    </row>
    <row r="162" spans="1:7">
      <c r="A162" s="271" t="s">
        <v>64</v>
      </c>
      <c r="B162" s="270"/>
      <c r="C162" s="270" t="s">
        <v>63</v>
      </c>
      <c r="D162" s="273">
        <f>IF((D22+D23+D65+D66)=0,0,D158/(D22+D23+D65+D66))</f>
        <v>0</v>
      </c>
      <c r="E162" s="273">
        <f>IF((E22+E23+E65+E66)=0,0,E158/(E22+E23+E65+E66))</f>
        <v>0</v>
      </c>
      <c r="F162" s="273">
        <f>IF((F22+F23+F65+F66)=0,0,F158/(F22+F23+F65+F66))</f>
        <v>0.70657117002031244</v>
      </c>
      <c r="G162" s="273">
        <f>IF((G22+G23+G65+G66)=0,0,G158/(G22+G23+G65+G66))</f>
        <v>0</v>
      </c>
    </row>
    <row r="163" spans="1:7">
      <c r="A163" s="267" t="s">
        <v>62</v>
      </c>
      <c r="B163" s="266"/>
      <c r="C163" s="266" t="s">
        <v>61</v>
      </c>
      <c r="D163" s="268">
        <f>D145</f>
        <v>0</v>
      </c>
      <c r="E163" s="268">
        <f>E145</f>
        <v>0</v>
      </c>
      <c r="F163" s="268">
        <f>F145</f>
        <v>414547.35797000013</v>
      </c>
      <c r="G163" s="268">
        <f>G145</f>
        <v>0</v>
      </c>
    </row>
    <row r="164" spans="1:7" ht="25.5">
      <c r="A164" s="275" t="s">
        <v>60</v>
      </c>
      <c r="B164" s="270"/>
      <c r="C164" s="270" t="s">
        <v>59</v>
      </c>
      <c r="D164" s="274">
        <f>IF(D178=0,0,D146/D178)</f>
        <v>0</v>
      </c>
      <c r="E164" s="274">
        <f>IF(E178=0,0,E146/E178)</f>
        <v>0</v>
      </c>
      <c r="F164" s="274">
        <f>IF(F178=0,0,F146/F178)</f>
        <v>7.7995395865910561E-2</v>
      </c>
      <c r="G164" s="274">
        <f>IF(G178=0,0,G146/G178)</f>
        <v>0</v>
      </c>
    </row>
    <row r="165" spans="1:7">
      <c r="A165" s="264" t="s">
        <v>58</v>
      </c>
      <c r="B165" s="263"/>
      <c r="C165" s="263" t="s">
        <v>57</v>
      </c>
      <c r="D165" s="262">
        <f>IF(D177=0,0,D180/D177)</f>
        <v>0</v>
      </c>
      <c r="E165" s="262">
        <f>IF(E177=0,0,E180/E177)</f>
        <v>4.5876715225414477E-2</v>
      </c>
      <c r="F165" s="262">
        <f>IF(F177=0,0,F180/F177)</f>
        <v>4.6343357644663075E-2</v>
      </c>
      <c r="G165" s="262">
        <f>IF(G177=0,0,G180/G177)</f>
        <v>5.4307055961046416E-2</v>
      </c>
    </row>
    <row r="166" spans="1:7">
      <c r="A166" s="267" t="s">
        <v>56</v>
      </c>
      <c r="B166" s="266"/>
      <c r="C166" s="266" t="s">
        <v>55</v>
      </c>
      <c r="D166" s="268">
        <f>D55</f>
        <v>0</v>
      </c>
      <c r="E166" s="268">
        <f>E55</f>
        <v>148781.70000000001</v>
      </c>
      <c r="F166" s="268">
        <f>F55</f>
        <v>128590.31877999997</v>
      </c>
      <c r="G166" s="268">
        <f>G55</f>
        <v>158113.60000000001</v>
      </c>
    </row>
    <row r="167" spans="1:7">
      <c r="A167" s="271" t="s">
        <v>54</v>
      </c>
      <c r="B167" s="270"/>
      <c r="C167" s="270" t="s">
        <v>53</v>
      </c>
      <c r="D167" s="273">
        <f>IF(0=D111,0,(D44+D45+D46+D47+D48)/D111)</f>
        <v>0</v>
      </c>
      <c r="E167" s="273">
        <f>IF(0=E111,0,(E44+E45+E46+E47+E48)/E111)</f>
        <v>0</v>
      </c>
      <c r="F167" s="273">
        <f>IF(0=F111,0,(F44+F45+F46+F47+F48)/F111)</f>
        <v>9.4357277066187805E-3</v>
      </c>
      <c r="G167" s="273">
        <f>IF(0=G111,0,(G44+G45+G46+G47+G48)/G111)</f>
        <v>0</v>
      </c>
    </row>
    <row r="168" spans="1:7">
      <c r="A168" s="267" t="s">
        <v>52</v>
      </c>
      <c r="B168" s="272"/>
      <c r="C168" s="272" t="s">
        <v>51</v>
      </c>
      <c r="D168" s="268">
        <f>D38-D44</f>
        <v>0</v>
      </c>
      <c r="E168" s="268">
        <f>E38-E44</f>
        <v>33968.400000000001</v>
      </c>
      <c r="F168" s="268">
        <f>F38-F44</f>
        <v>31836.785839999997</v>
      </c>
      <c r="G168" s="268">
        <f>G38-G44</f>
        <v>22524.9</v>
      </c>
    </row>
    <row r="169" spans="1:7">
      <c r="A169" s="271" t="s">
        <v>50</v>
      </c>
      <c r="B169" s="270"/>
      <c r="C169" s="270" t="s">
        <v>49</v>
      </c>
      <c r="D169" s="269">
        <f>IF(D177=0,0,D168/D177)</f>
        <v>0</v>
      </c>
      <c r="E169" s="269">
        <f>IF(E177=0,0,E168/E177)</f>
        <v>7.5008320419900319E-3</v>
      </c>
      <c r="F169" s="269">
        <f>IF(F177=0,0,F168/F177)</f>
        <v>7.1436161197758344E-3</v>
      </c>
      <c r="G169" s="269">
        <f>IF(G177=0,0,G168/G177)</f>
        <v>4.8097942620690323E-3</v>
      </c>
    </row>
    <row r="170" spans="1:7">
      <c r="A170" s="267" t="s">
        <v>48</v>
      </c>
      <c r="B170" s="266"/>
      <c r="C170" s="266" t="s">
        <v>47</v>
      </c>
      <c r="D170" s="268">
        <f>SUM(D82:D87)+SUM(D89:D94)</f>
        <v>0</v>
      </c>
      <c r="E170" s="268">
        <f>SUM(E82:E87)+SUM(E89:E94)</f>
        <v>270625.09999999998</v>
      </c>
      <c r="F170" s="268">
        <f>SUM(F82:F87)+SUM(F89:F94)</f>
        <v>214566.27603000001</v>
      </c>
      <c r="G170" s="268">
        <f>SUM(G82:G87)+SUM(G89:G94)</f>
        <v>317875.51</v>
      </c>
    </row>
    <row r="171" spans="1:7">
      <c r="A171" s="267" t="s">
        <v>46</v>
      </c>
      <c r="B171" s="266"/>
      <c r="C171" s="266" t="s">
        <v>45</v>
      </c>
      <c r="D171" s="265">
        <f>SUM(D96:D102)+SUM(D104:D105)</f>
        <v>0</v>
      </c>
      <c r="E171" s="265">
        <f>SUM(E96:E102)+SUM(E104:E105)</f>
        <v>87391.7</v>
      </c>
      <c r="F171" s="265">
        <f>SUM(F96:F102)+SUM(F104:F105)</f>
        <v>60903.197880000007</v>
      </c>
      <c r="G171" s="265">
        <f>SUM(G96:G102)+SUM(G104:G105)</f>
        <v>100282.69</v>
      </c>
    </row>
    <row r="172" spans="1:7">
      <c r="A172" s="264" t="s">
        <v>44</v>
      </c>
      <c r="B172" s="263"/>
      <c r="C172" s="263" t="s">
        <v>43</v>
      </c>
      <c r="D172" s="262">
        <f>IF(D184=0,0,D170/D184)</f>
        <v>0</v>
      </c>
      <c r="E172" s="262">
        <f>IF(E184=0,0,E170/E184)</f>
        <v>5.9257374702092892E-2</v>
      </c>
      <c r="F172" s="262">
        <f>IF(F184=0,0,F170/F184)</f>
        <v>4.7575489405164338E-2</v>
      </c>
      <c r="G172" s="262">
        <f>IF(G184=0,0,G170/G184)</f>
        <v>6.9147507962115842E-2</v>
      </c>
    </row>
    <row r="174" spans="1:7">
      <c r="A174" s="261" t="s">
        <v>42</v>
      </c>
      <c r="B174" s="259"/>
      <c r="C174" s="261"/>
      <c r="D174" s="260"/>
      <c r="E174" s="260"/>
      <c r="F174" s="260"/>
      <c r="G174" s="260"/>
    </row>
    <row r="175" spans="1:7" s="255" customFormat="1">
      <c r="A175" s="259" t="s">
        <v>41</v>
      </c>
      <c r="B175" s="259"/>
      <c r="C175" s="259" t="s">
        <v>40</v>
      </c>
      <c r="D175" s="257"/>
      <c r="E175" s="256">
        <v>645595</v>
      </c>
      <c r="F175" s="257">
        <v>644830</v>
      </c>
      <c r="G175" s="256">
        <v>654233</v>
      </c>
    </row>
    <row r="176" spans="1:7">
      <c r="A176" s="254" t="s">
        <v>39</v>
      </c>
      <c r="B176" s="253"/>
      <c r="C176" s="253"/>
      <c r="D176" s="253"/>
      <c r="E176" s="253"/>
      <c r="F176" s="253"/>
      <c r="G176" s="253"/>
    </row>
    <row r="177" spans="1:7">
      <c r="A177" s="253" t="s">
        <v>38</v>
      </c>
      <c r="B177" s="253"/>
      <c r="C177" s="253" t="s">
        <v>37</v>
      </c>
      <c r="D177" s="252">
        <f>SUM(D22:D32)+SUM(D44:D53)+SUM(D65:D72)+D75</f>
        <v>0</v>
      </c>
      <c r="E177" s="252">
        <f>SUM(E22:E32)+SUM(E44:E53)+SUM(E65:E72)+E75</f>
        <v>4528617.6000000006</v>
      </c>
      <c r="F177" s="252">
        <f>SUM(F22:F32)+SUM(F44:F53)+SUM(F65:F72)+F75</f>
        <v>4456676.4655599985</v>
      </c>
      <c r="G177" s="252">
        <f>SUM(G22:G32)+SUM(G44:G53)+SUM(G65:G72)+G75</f>
        <v>4683131.7043300001</v>
      </c>
    </row>
    <row r="178" spans="1:7">
      <c r="A178" s="253" t="s">
        <v>36</v>
      </c>
      <c r="B178" s="253"/>
      <c r="C178" s="253" t="s">
        <v>35</v>
      </c>
      <c r="D178" s="252">
        <f>D78-D17-D20-D59-D63-D64</f>
        <v>0</v>
      </c>
      <c r="E178" s="252">
        <f>E78-E17-E20-E59-E63-E64</f>
        <v>4499007</v>
      </c>
      <c r="F178" s="252">
        <f>F78-F17-F20-F59-F63-F64</f>
        <v>4531316.8675700007</v>
      </c>
      <c r="G178" s="252">
        <f>G78-G17-G20-G59-G63-G64</f>
        <v>4684274.7379400004</v>
      </c>
    </row>
    <row r="179" spans="1:7">
      <c r="A179" s="253"/>
      <c r="B179" s="253"/>
      <c r="C179" s="253" t="s">
        <v>34</v>
      </c>
      <c r="D179" s="252">
        <f>D178+D170</f>
        <v>0</v>
      </c>
      <c r="E179" s="252">
        <f>E178+E170</f>
        <v>4769632.0999999996</v>
      </c>
      <c r="F179" s="252">
        <f>F178+F170</f>
        <v>4745883.143600001</v>
      </c>
      <c r="G179" s="252">
        <f>G178+G170</f>
        <v>5002150.2479400001</v>
      </c>
    </row>
    <row r="180" spans="1:7">
      <c r="A180" s="253" t="s">
        <v>33</v>
      </c>
      <c r="B180" s="253"/>
      <c r="C180" s="253" t="s">
        <v>32</v>
      </c>
      <c r="D180" s="252">
        <f>D38-D44+D8+D9+D10+D16-D33</f>
        <v>0</v>
      </c>
      <c r="E180" s="252">
        <f>E38-E44+E8+E9+E10+E16-E33</f>
        <v>207758.1</v>
      </c>
      <c r="F180" s="252">
        <f>F38-F44+F8+F9+F10+F16-F33</f>
        <v>206537.35134999998</v>
      </c>
      <c r="G180" s="252">
        <f>G38-G44+G8+G9+G10+G16-G33</f>
        <v>254327.09554000001</v>
      </c>
    </row>
    <row r="181" spans="1:7" ht="27.6" customHeight="1">
      <c r="A181" s="251" t="s">
        <v>31</v>
      </c>
      <c r="B181" s="250"/>
      <c r="C181" s="250" t="s">
        <v>30</v>
      </c>
      <c r="D181" s="249">
        <f>D22+D23+D24+D25+D26+D29+SUM(D44:D47)+SUM(D49:D53)-D54+D32-D33+SUM(D65:D70)+D72</f>
        <v>0</v>
      </c>
      <c r="E181" s="249">
        <f>E22+E23+E24+E25+E26+E29+SUM(E44:E47)+SUM(E49:E53)-E54+E32-E33+SUM(E65:E70)+E72</f>
        <v>4393599.5999999996</v>
      </c>
      <c r="F181" s="249">
        <f>F22+F23+F24+F25+F26+F29+SUM(F44:F47)+SUM(F49:F53)-F54+F32-F33+SUM(F65:F70)+F72</f>
        <v>4302613.1697399989</v>
      </c>
      <c r="G181" s="249">
        <f>G22+G23+G24+G25+G26+G29+SUM(G44:G47)+SUM(G49:G53)-G54+G32-G33+SUM(G65:G70)+G72</f>
        <v>4566161.4043300003</v>
      </c>
    </row>
    <row r="182" spans="1:7">
      <c r="A182" s="250" t="s">
        <v>29</v>
      </c>
      <c r="B182" s="250"/>
      <c r="C182" s="250" t="s">
        <v>28</v>
      </c>
      <c r="D182" s="249">
        <f>D181+D171</f>
        <v>0</v>
      </c>
      <c r="E182" s="249">
        <f>E181+E171</f>
        <v>4480991.3</v>
      </c>
      <c r="F182" s="249">
        <f>F181+F171</f>
        <v>4363516.3676199988</v>
      </c>
      <c r="G182" s="249">
        <f>G181+G171</f>
        <v>4666444.0943300007</v>
      </c>
    </row>
    <row r="183" spans="1:7">
      <c r="A183" s="250" t="s">
        <v>27</v>
      </c>
      <c r="B183" s="250"/>
      <c r="C183" s="250" t="s">
        <v>26</v>
      </c>
      <c r="D183" s="249">
        <f>D4+D5-D7+D38+D39+D40+D41+D43+D13-D16+D57+D58+D60+D62</f>
        <v>0</v>
      </c>
      <c r="E183" s="249">
        <f>E4+E5-E7+E38+E39+E40+E41+E43+E13-E16+E57+E58+E60+E62</f>
        <v>4296318.7</v>
      </c>
      <c r="F183" s="249">
        <f>F4+F5-F7+F38+F39+F40+F41+F43+F13-F16+F57+F58+F60+F62</f>
        <v>4295450.9347800007</v>
      </c>
      <c r="G183" s="249">
        <f>G4+G5-G7+G38+G39+G40+G41+G43+G13-G16+G57+G58+G60+G62</f>
        <v>4279188.352</v>
      </c>
    </row>
    <row r="184" spans="1:7">
      <c r="A184" s="250" t="s">
        <v>25</v>
      </c>
      <c r="B184" s="250"/>
      <c r="C184" s="250" t="s">
        <v>24</v>
      </c>
      <c r="D184" s="249">
        <f>D183+D170</f>
        <v>0</v>
      </c>
      <c r="E184" s="249">
        <f>E183+E170</f>
        <v>4566943.8</v>
      </c>
      <c r="F184" s="249">
        <f>F183+F170</f>
        <v>4510017.210810001</v>
      </c>
      <c r="G184" s="249">
        <f>G183+G170</f>
        <v>4597063.8619999997</v>
      </c>
    </row>
    <row r="185" spans="1:7">
      <c r="A185" s="250"/>
      <c r="B185" s="250"/>
      <c r="C185" s="250" t="s">
        <v>23</v>
      </c>
      <c r="D185" s="249">
        <f t="shared" ref="D185:G186" si="0">D181-D183</f>
        <v>0</v>
      </c>
      <c r="E185" s="249">
        <f t="shared" si="0"/>
        <v>97280.899999999441</v>
      </c>
      <c r="F185" s="249">
        <f t="shared" si="0"/>
        <v>7162.2349599981681</v>
      </c>
      <c r="G185" s="249">
        <f t="shared" si="0"/>
        <v>286973.05233000033</v>
      </c>
    </row>
    <row r="186" spans="1:7">
      <c r="A186" s="250"/>
      <c r="B186" s="250"/>
      <c r="C186" s="250" t="s">
        <v>22</v>
      </c>
      <c r="D186" s="249">
        <f t="shared" si="0"/>
        <v>0</v>
      </c>
      <c r="E186" s="249">
        <f t="shared" si="0"/>
        <v>-85952.5</v>
      </c>
      <c r="F186" s="249">
        <f t="shared" si="0"/>
        <v>-146500.84319000226</v>
      </c>
      <c r="G186" s="249">
        <f t="shared" si="0"/>
        <v>69380.232330000959</v>
      </c>
    </row>
  </sheetData>
  <sheetProtection selectLockedCells="1" sort="0" autoFilter="0" pivotTables="0"/>
  <autoFilter ref="A1:G79"/>
  <mergeCells count="2">
    <mergeCell ref="A3:C3"/>
    <mergeCell ref="A81:C81"/>
  </mergeCells>
  <pageMargins left="0.23622047244094491" right="0.23622047244094491" top="0.74803149606299213" bottom="0.74803149606299213" header="0.31496062992125984" footer="0.31496062992125984"/>
  <pageSetup paperSize="9" orientation="landscape" r:id="rId1"/>
  <headerFooter alignWithMargins="0">
    <oddHeader>&amp;LFachgruppe für kantonale Finanzfragen (FkF)
Groupe d'études pour les finances cantonales
&amp;CKanton VD&amp;RZürich, 11.05.2015</oddHeader>
    <oddFooter>&amp;L&amp;F / &amp;A</oddFooter>
  </headerFooter>
  <rowBreaks count="2" manualBreakCount="2">
    <brk id="79" max="16383" man="1"/>
    <brk id="148" max="16383" man="1"/>
  </rowBreaks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51">
    <tabColor rgb="FF00B050"/>
  </sheetPr>
  <dimension ref="A1:AK186"/>
  <sheetViews>
    <sheetView zoomScale="115" zoomScaleNormal="115" workbookViewId="0">
      <selection activeCell="G10" sqref="G10"/>
    </sheetView>
  </sheetViews>
  <sheetFormatPr baseColWidth="10" defaultColWidth="11.42578125" defaultRowHeight="12.75"/>
  <cols>
    <col min="1" max="1" width="15.140625" style="470" customWidth="1"/>
    <col min="2" max="2" width="3.7109375" style="470" customWidth="1"/>
    <col min="3" max="3" width="44.7109375" style="470" customWidth="1"/>
    <col min="4" max="16384" width="11.42578125" style="470"/>
  </cols>
  <sheetData>
    <row r="1" spans="1:37" s="642" customFormat="1" ht="18" customHeight="1">
      <c r="A1" s="752" t="s">
        <v>258</v>
      </c>
      <c r="B1" s="810" t="s">
        <v>518</v>
      </c>
      <c r="C1" s="810" t="s">
        <v>517</v>
      </c>
      <c r="D1" s="643" t="s">
        <v>255</v>
      </c>
      <c r="E1" s="644" t="s">
        <v>254</v>
      </c>
      <c r="F1" s="643" t="s">
        <v>255</v>
      </c>
      <c r="G1" s="644" t="s">
        <v>254</v>
      </c>
      <c r="H1" s="608"/>
      <c r="I1" s="608"/>
      <c r="J1" s="608"/>
      <c r="K1" s="608"/>
      <c r="L1" s="608"/>
      <c r="M1" s="608"/>
      <c r="N1" s="608"/>
      <c r="O1" s="608"/>
      <c r="P1" s="608"/>
      <c r="Q1" s="608"/>
      <c r="R1" s="608"/>
      <c r="S1" s="608"/>
      <c r="T1" s="608"/>
      <c r="U1" s="608"/>
      <c r="V1" s="608"/>
      <c r="W1" s="608"/>
      <c r="X1" s="608"/>
      <c r="Y1" s="608"/>
      <c r="Z1" s="608"/>
      <c r="AA1" s="608"/>
      <c r="AB1" s="608"/>
      <c r="AC1" s="608"/>
      <c r="AD1" s="608"/>
      <c r="AE1" s="608"/>
      <c r="AF1" s="608"/>
      <c r="AG1" s="608"/>
      <c r="AH1" s="608"/>
      <c r="AI1" s="608"/>
      <c r="AJ1" s="608"/>
      <c r="AK1" s="608"/>
    </row>
    <row r="2" spans="1:37" s="636" customFormat="1" ht="15" customHeight="1">
      <c r="A2" s="641"/>
      <c r="B2" s="640"/>
      <c r="C2" s="639" t="s">
        <v>253</v>
      </c>
      <c r="D2" s="637">
        <v>2013</v>
      </c>
      <c r="E2" s="638">
        <v>2014</v>
      </c>
      <c r="F2" s="637">
        <v>2014</v>
      </c>
      <c r="G2" s="638">
        <v>2015</v>
      </c>
    </row>
    <row r="3" spans="1:37" ht="15" customHeight="1">
      <c r="A3" s="949" t="s">
        <v>252</v>
      </c>
      <c r="B3" s="950"/>
      <c r="C3" s="950"/>
      <c r="D3" s="512"/>
      <c r="E3" s="635" t="s">
        <v>251</v>
      </c>
      <c r="F3" s="516"/>
      <c r="G3" s="757" t="s">
        <v>251</v>
      </c>
    </row>
    <row r="4" spans="1:37" s="480" customFormat="1" ht="12.75" customHeight="1">
      <c r="A4" s="670">
        <v>30</v>
      </c>
      <c r="B4" s="669"/>
      <c r="C4" s="632" t="s">
        <v>250</v>
      </c>
      <c r="D4" s="411">
        <v>369165</v>
      </c>
      <c r="E4" s="453">
        <v>375735</v>
      </c>
      <c r="F4" s="411">
        <v>375615</v>
      </c>
      <c r="G4" s="453">
        <v>377622</v>
      </c>
    </row>
    <row r="5" spans="1:37" s="480" customFormat="1" ht="12.75" customHeight="1">
      <c r="A5" s="591">
        <v>31</v>
      </c>
      <c r="B5" s="587"/>
      <c r="C5" s="585" t="s">
        <v>249</v>
      </c>
      <c r="D5" s="317">
        <v>143877</v>
      </c>
      <c r="E5" s="361">
        <v>147482</v>
      </c>
      <c r="F5" s="317">
        <v>146196</v>
      </c>
      <c r="G5" s="361">
        <v>159773</v>
      </c>
    </row>
    <row r="6" spans="1:37" s="480" customFormat="1" ht="12.75" customHeight="1">
      <c r="A6" s="630" t="s">
        <v>248</v>
      </c>
      <c r="B6" s="586"/>
      <c r="C6" s="616" t="s">
        <v>247</v>
      </c>
      <c r="D6" s="322">
        <v>11224</v>
      </c>
      <c r="E6" s="321">
        <v>11774</v>
      </c>
      <c r="F6" s="322">
        <v>12127</v>
      </c>
      <c r="G6" s="361">
        <v>11278</v>
      </c>
    </row>
    <row r="7" spans="1:37" s="480" customFormat="1" ht="12.75" customHeight="1">
      <c r="A7" s="630" t="s">
        <v>246</v>
      </c>
      <c r="B7" s="586"/>
      <c r="C7" s="616" t="s">
        <v>245</v>
      </c>
      <c r="D7" s="322">
        <v>69</v>
      </c>
      <c r="E7" s="321">
        <v>0</v>
      </c>
      <c r="F7" s="322">
        <v>26</v>
      </c>
      <c r="G7" s="361">
        <v>285</v>
      </c>
    </row>
    <row r="8" spans="1:37" s="480" customFormat="1" ht="12.75" customHeight="1">
      <c r="A8" s="593">
        <v>330</v>
      </c>
      <c r="B8" s="587"/>
      <c r="C8" s="585" t="s">
        <v>244</v>
      </c>
      <c r="D8" s="317">
        <v>44983</v>
      </c>
      <c r="E8" s="316">
        <v>53434</v>
      </c>
      <c r="F8" s="317">
        <v>48699</v>
      </c>
      <c r="G8" s="361">
        <v>35212</v>
      </c>
    </row>
    <row r="9" spans="1:37" s="480" customFormat="1" ht="12.75" customHeight="1">
      <c r="A9" s="593">
        <v>332</v>
      </c>
      <c r="B9" s="587"/>
      <c r="C9" s="585" t="s">
        <v>243</v>
      </c>
      <c r="D9" s="317">
        <v>0</v>
      </c>
      <c r="E9" s="316">
        <v>0</v>
      </c>
      <c r="F9" s="317">
        <v>0</v>
      </c>
      <c r="G9" s="361">
        <v>0</v>
      </c>
    </row>
    <row r="10" spans="1:37" s="480" customFormat="1" ht="12.75" customHeight="1">
      <c r="A10" s="593">
        <v>339</v>
      </c>
      <c r="B10" s="587"/>
      <c r="C10" s="585" t="s">
        <v>242</v>
      </c>
      <c r="D10" s="317">
        <v>0</v>
      </c>
      <c r="E10" s="316">
        <v>0</v>
      </c>
      <c r="F10" s="317">
        <v>0</v>
      </c>
      <c r="G10" s="361">
        <v>0</v>
      </c>
    </row>
    <row r="11" spans="1:37" s="480" customFormat="1" ht="12.75" customHeight="1">
      <c r="A11" s="591">
        <v>350</v>
      </c>
      <c r="B11" s="587"/>
      <c r="C11" s="585" t="s">
        <v>241</v>
      </c>
      <c r="D11" s="317">
        <v>30672</v>
      </c>
      <c r="E11" s="316">
        <v>23709</v>
      </c>
      <c r="F11" s="317">
        <v>138509</v>
      </c>
      <c r="G11" s="361">
        <v>12861</v>
      </c>
    </row>
    <row r="12" spans="1:37" s="579" customFormat="1">
      <c r="A12" s="597">
        <v>351</v>
      </c>
      <c r="B12" s="596"/>
      <c r="C12" s="589" t="s">
        <v>240</v>
      </c>
      <c r="D12" s="450">
        <v>132</v>
      </c>
      <c r="E12" s="400">
        <v>0</v>
      </c>
      <c r="F12" s="450">
        <v>127203</v>
      </c>
      <c r="G12" s="361">
        <v>0</v>
      </c>
    </row>
    <row r="13" spans="1:37" s="480" customFormat="1" ht="12.75" customHeight="1">
      <c r="A13" s="591">
        <v>36</v>
      </c>
      <c r="B13" s="587"/>
      <c r="C13" s="585" t="s">
        <v>239</v>
      </c>
      <c r="D13" s="362">
        <f>927553</f>
        <v>927553</v>
      </c>
      <c r="E13" s="316">
        <f>915594+1</f>
        <v>915595</v>
      </c>
      <c r="F13" s="362">
        <v>930674</v>
      </c>
      <c r="G13" s="361">
        <v>937740</v>
      </c>
    </row>
    <row r="14" spans="1:37" s="480" customFormat="1" ht="12.75" customHeight="1">
      <c r="A14" s="629" t="s">
        <v>238</v>
      </c>
      <c r="B14" s="587"/>
      <c r="C14" s="627" t="s">
        <v>237</v>
      </c>
      <c r="D14" s="362">
        <v>381375</v>
      </c>
      <c r="E14" s="316">
        <v>385955</v>
      </c>
      <c r="F14" s="362">
        <v>415310</v>
      </c>
      <c r="G14" s="361">
        <v>411238</v>
      </c>
    </row>
    <row r="15" spans="1:37" s="480" customFormat="1" ht="12.75" customHeight="1">
      <c r="A15" s="629" t="s">
        <v>236</v>
      </c>
      <c r="B15" s="587"/>
      <c r="C15" s="627" t="s">
        <v>235</v>
      </c>
      <c r="D15" s="362">
        <v>147444</v>
      </c>
      <c r="E15" s="316">
        <v>139151</v>
      </c>
      <c r="F15" s="362">
        <v>132804</v>
      </c>
      <c r="G15" s="361">
        <v>145283</v>
      </c>
    </row>
    <row r="16" spans="1:37" s="626" customFormat="1" ht="39.6" customHeight="1">
      <c r="A16" s="629" t="s">
        <v>234</v>
      </c>
      <c r="B16" s="668"/>
      <c r="C16" s="627" t="s">
        <v>233</v>
      </c>
      <c r="D16" s="444">
        <v>0</v>
      </c>
      <c r="E16" s="443">
        <v>0</v>
      </c>
      <c r="F16" s="444">
        <v>0</v>
      </c>
      <c r="G16" s="361">
        <v>0</v>
      </c>
    </row>
    <row r="17" spans="1:7" s="622" customFormat="1">
      <c r="A17" s="591">
        <v>37</v>
      </c>
      <c r="B17" s="587"/>
      <c r="C17" s="585" t="s">
        <v>211</v>
      </c>
      <c r="D17" s="362">
        <v>271578</v>
      </c>
      <c r="E17" s="430">
        <v>281089</v>
      </c>
      <c r="F17" s="362">
        <v>270194</v>
      </c>
      <c r="G17" s="361">
        <v>286104</v>
      </c>
    </row>
    <row r="18" spans="1:7" s="622" customFormat="1">
      <c r="A18" s="617" t="s">
        <v>232</v>
      </c>
      <c r="B18" s="586"/>
      <c r="C18" s="616" t="s">
        <v>231</v>
      </c>
      <c r="D18" s="362">
        <v>0</v>
      </c>
      <c r="E18" s="430">
        <v>0</v>
      </c>
      <c r="F18" s="362">
        <v>0</v>
      </c>
      <c r="G18" s="361">
        <v>0</v>
      </c>
    </row>
    <row r="19" spans="1:7" s="622" customFormat="1">
      <c r="A19" s="617" t="s">
        <v>230</v>
      </c>
      <c r="B19" s="586"/>
      <c r="C19" s="616" t="s">
        <v>229</v>
      </c>
      <c r="D19" s="362">
        <v>69172</v>
      </c>
      <c r="E19" s="430">
        <v>70210</v>
      </c>
      <c r="F19" s="362">
        <v>71493</v>
      </c>
      <c r="G19" s="361">
        <v>72700</v>
      </c>
    </row>
    <row r="20" spans="1:7" s="480" customFormat="1" ht="12.75" customHeight="1">
      <c r="A20" s="615">
        <v>39</v>
      </c>
      <c r="B20" s="614"/>
      <c r="C20" s="583" t="s">
        <v>228</v>
      </c>
      <c r="D20" s="355">
        <v>140780</v>
      </c>
      <c r="E20" s="372">
        <v>146190</v>
      </c>
      <c r="F20" s="355">
        <v>145109</v>
      </c>
      <c r="G20" s="354">
        <v>151835</v>
      </c>
    </row>
    <row r="21" spans="1:7" ht="12.75" customHeight="1">
      <c r="A21" s="578"/>
      <c r="B21" s="578"/>
      <c r="C21" s="576" t="s">
        <v>227</v>
      </c>
      <c r="D21" s="380">
        <f>D4+D5+SUM(D8:D13)+D17</f>
        <v>1787960</v>
      </c>
      <c r="E21" s="380">
        <f>E4+E5+SUM(E8:E13)+E17</f>
        <v>1797044</v>
      </c>
      <c r="F21" s="380">
        <f>F4+F5+SUM(F8:F13)+F17</f>
        <v>2037090</v>
      </c>
      <c r="G21" s="380">
        <f>G4+G5+SUM(G8:G13)+G17</f>
        <v>1809312</v>
      </c>
    </row>
    <row r="22" spans="1:7" s="480" customFormat="1" ht="12.75" customHeight="1">
      <c r="A22" s="593" t="s">
        <v>226</v>
      </c>
      <c r="B22" s="587"/>
      <c r="C22" s="585" t="s">
        <v>225</v>
      </c>
      <c r="D22" s="317">
        <f>507178+67710-2</f>
        <v>574886</v>
      </c>
      <c r="E22" s="316">
        <f>531120+62000-1</f>
        <v>593119</v>
      </c>
      <c r="F22" s="317">
        <v>606112</v>
      </c>
      <c r="G22" s="316">
        <v>614120</v>
      </c>
    </row>
    <row r="23" spans="1:7" s="480" customFormat="1" ht="12.75" customHeight="1">
      <c r="A23" s="593" t="s">
        <v>224</v>
      </c>
      <c r="B23" s="587"/>
      <c r="C23" s="585" t="s">
        <v>223</v>
      </c>
      <c r="D23" s="317">
        <f>126809+56505</f>
        <v>183314</v>
      </c>
      <c r="E23" s="316">
        <f>117300+56243</f>
        <v>173543</v>
      </c>
      <c r="F23" s="317">
        <v>187641</v>
      </c>
      <c r="G23" s="316">
        <v>179849</v>
      </c>
    </row>
    <row r="24" spans="1:7" s="621" customFormat="1" ht="12.75" customHeight="1">
      <c r="A24" s="591">
        <v>41</v>
      </c>
      <c r="B24" s="587"/>
      <c r="C24" s="585" t="s">
        <v>222</v>
      </c>
      <c r="D24" s="317">
        <v>34702</v>
      </c>
      <c r="E24" s="316">
        <v>34808</v>
      </c>
      <c r="F24" s="317">
        <v>14102</v>
      </c>
      <c r="G24" s="316">
        <v>34630</v>
      </c>
    </row>
    <row r="25" spans="1:7" s="480" customFormat="1" ht="12.75" customHeight="1">
      <c r="A25" s="620">
        <v>42</v>
      </c>
      <c r="B25" s="619"/>
      <c r="C25" s="585" t="s">
        <v>221</v>
      </c>
      <c r="D25" s="317">
        <v>145836</v>
      </c>
      <c r="E25" s="316">
        <v>141022</v>
      </c>
      <c r="F25" s="317">
        <v>144755</v>
      </c>
      <c r="G25" s="316">
        <v>143338</v>
      </c>
    </row>
    <row r="26" spans="1:7" s="618" customFormat="1" ht="12.75" customHeight="1">
      <c r="A26" s="597">
        <v>430</v>
      </c>
      <c r="B26" s="587"/>
      <c r="C26" s="585" t="s">
        <v>220</v>
      </c>
      <c r="D26" s="431">
        <v>4470</v>
      </c>
      <c r="E26" s="430">
        <v>4239</v>
      </c>
      <c r="F26" s="431">
        <v>5703</v>
      </c>
      <c r="G26" s="430">
        <v>3805</v>
      </c>
    </row>
    <row r="27" spans="1:7" s="618" customFormat="1" ht="12.75" customHeight="1">
      <c r="A27" s="597">
        <v>431</v>
      </c>
      <c r="B27" s="587"/>
      <c r="C27" s="585" t="s">
        <v>219</v>
      </c>
      <c r="D27" s="431">
        <v>0</v>
      </c>
      <c r="E27" s="430">
        <v>0</v>
      </c>
      <c r="F27" s="431">
        <v>0</v>
      </c>
      <c r="G27" s="430">
        <v>0</v>
      </c>
    </row>
    <row r="28" spans="1:7" s="618" customFormat="1" ht="12.75" customHeight="1">
      <c r="A28" s="597">
        <v>432</v>
      </c>
      <c r="B28" s="587"/>
      <c r="C28" s="585" t="s">
        <v>218</v>
      </c>
      <c r="D28" s="431">
        <v>0</v>
      </c>
      <c r="E28" s="430">
        <v>0</v>
      </c>
      <c r="F28" s="431">
        <v>0</v>
      </c>
      <c r="G28" s="430">
        <v>0</v>
      </c>
    </row>
    <row r="29" spans="1:7" s="618" customFormat="1" ht="12.75" customHeight="1">
      <c r="A29" s="597">
        <v>439</v>
      </c>
      <c r="B29" s="587"/>
      <c r="C29" s="585" t="s">
        <v>217</v>
      </c>
      <c r="D29" s="431">
        <v>23</v>
      </c>
      <c r="E29" s="430">
        <v>0</v>
      </c>
      <c r="F29" s="431"/>
      <c r="G29" s="430">
        <v>0</v>
      </c>
    </row>
    <row r="30" spans="1:7" s="480" customFormat="1" ht="25.5">
      <c r="A30" s="597">
        <v>450</v>
      </c>
      <c r="B30" s="596"/>
      <c r="C30" s="589" t="s">
        <v>216</v>
      </c>
      <c r="D30" s="362">
        <v>20042</v>
      </c>
      <c r="E30" s="361">
        <v>20690</v>
      </c>
      <c r="F30" s="362">
        <v>34375</v>
      </c>
      <c r="G30" s="361">
        <v>13499</v>
      </c>
    </row>
    <row r="31" spans="1:7" s="830" customFormat="1" ht="30.6" customHeight="1">
      <c r="A31" s="597">
        <v>451</v>
      </c>
      <c r="B31" s="596"/>
      <c r="C31" s="589" t="s">
        <v>215</v>
      </c>
      <c r="D31" s="311">
        <v>0</v>
      </c>
      <c r="E31" s="342">
        <v>0</v>
      </c>
      <c r="F31" s="311">
        <v>0</v>
      </c>
      <c r="G31" s="342">
        <v>0</v>
      </c>
    </row>
    <row r="32" spans="1:7" s="480" customFormat="1" ht="12.75" customHeight="1">
      <c r="A32" s="591">
        <v>46</v>
      </c>
      <c r="B32" s="587"/>
      <c r="C32" s="585" t="s">
        <v>214</v>
      </c>
      <c r="D32" s="317">
        <v>464492</v>
      </c>
      <c r="E32" s="316">
        <v>460325</v>
      </c>
      <c r="F32" s="317">
        <v>462587</v>
      </c>
      <c r="G32" s="316">
        <v>472065</v>
      </c>
    </row>
    <row r="33" spans="1:7" s="579" customFormat="1" ht="12.75" customHeight="1">
      <c r="A33" s="617" t="s">
        <v>213</v>
      </c>
      <c r="B33" s="586"/>
      <c r="C33" s="616" t="s">
        <v>212</v>
      </c>
      <c r="D33" s="317">
        <v>0</v>
      </c>
      <c r="E33" s="321">
        <v>0</v>
      </c>
      <c r="F33" s="317">
        <v>0</v>
      </c>
      <c r="G33" s="321">
        <v>0</v>
      </c>
    </row>
    <row r="34" spans="1:7" s="480" customFormat="1" ht="15" customHeight="1">
      <c r="A34" s="591">
        <v>47</v>
      </c>
      <c r="B34" s="587"/>
      <c r="C34" s="585" t="s">
        <v>211</v>
      </c>
      <c r="D34" s="317">
        <v>271558</v>
      </c>
      <c r="E34" s="316">
        <v>281089</v>
      </c>
      <c r="F34" s="317">
        <v>270194</v>
      </c>
      <c r="G34" s="316">
        <v>286104</v>
      </c>
    </row>
    <row r="35" spans="1:7" s="480" customFormat="1" ht="15" customHeight="1">
      <c r="A35" s="615">
        <v>49</v>
      </c>
      <c r="B35" s="614"/>
      <c r="C35" s="583" t="s">
        <v>210</v>
      </c>
      <c r="D35" s="355">
        <v>140780</v>
      </c>
      <c r="E35" s="372">
        <v>146190</v>
      </c>
      <c r="F35" s="355">
        <v>145109</v>
      </c>
      <c r="G35" s="372">
        <v>151835</v>
      </c>
    </row>
    <row r="36" spans="1:7" ht="13.5" customHeight="1">
      <c r="A36" s="578"/>
      <c r="B36" s="606"/>
      <c r="C36" s="576" t="s">
        <v>209</v>
      </c>
      <c r="D36" s="380">
        <f>D22+D23+D24+D25+D26+D27+D28+D29+D30+D31+D32+D34</f>
        <v>1699323</v>
      </c>
      <c r="E36" s="380">
        <f>E22+E23+E24+E25+E26+E27+E28+E29+E30+E31+E32+E34</f>
        <v>1708835</v>
      </c>
      <c r="F36" s="380">
        <f>F22+F23+F24+F25+F26+F27+F28+F29+F30+F31+F32+F34</f>
        <v>1725469</v>
      </c>
      <c r="G36" s="380">
        <f>G22+G23+G24+G25+G26+G27+G28+G29+G30+G31+G32+G34</f>
        <v>1747410</v>
      </c>
    </row>
    <row r="37" spans="1:7" s="667" customFormat="1" ht="15" customHeight="1">
      <c r="A37" s="578"/>
      <c r="B37" s="606"/>
      <c r="C37" s="576" t="s">
        <v>208</v>
      </c>
      <c r="D37" s="380">
        <f>D36-D21</f>
        <v>-88637</v>
      </c>
      <c r="E37" s="380">
        <f>E36-E21</f>
        <v>-88209</v>
      </c>
      <c r="F37" s="380">
        <f>F36-F21</f>
        <v>-311621</v>
      </c>
      <c r="G37" s="380">
        <f>G36-G21</f>
        <v>-61902</v>
      </c>
    </row>
    <row r="38" spans="1:7" s="579" customFormat="1" ht="15" customHeight="1">
      <c r="A38" s="593">
        <v>340</v>
      </c>
      <c r="B38" s="587"/>
      <c r="C38" s="585" t="s">
        <v>207</v>
      </c>
      <c r="D38" s="362">
        <v>8653</v>
      </c>
      <c r="E38" s="316">
        <v>8923</v>
      </c>
      <c r="F38" s="362">
        <v>7126</v>
      </c>
      <c r="G38" s="316">
        <v>8583</v>
      </c>
    </row>
    <row r="39" spans="1:7" s="579" customFormat="1" ht="15" customHeight="1">
      <c r="A39" s="593">
        <v>341</v>
      </c>
      <c r="B39" s="587"/>
      <c r="C39" s="585" t="s">
        <v>206</v>
      </c>
      <c r="D39" s="317">
        <v>0</v>
      </c>
      <c r="E39" s="316">
        <v>0</v>
      </c>
      <c r="F39" s="317">
        <v>0</v>
      </c>
      <c r="G39" s="316">
        <v>0</v>
      </c>
    </row>
    <row r="40" spans="1:7" s="579" customFormat="1" ht="15" customHeight="1">
      <c r="A40" s="593">
        <v>342</v>
      </c>
      <c r="B40" s="587"/>
      <c r="C40" s="585" t="s">
        <v>205</v>
      </c>
      <c r="D40" s="317">
        <v>1268</v>
      </c>
      <c r="E40" s="316">
        <v>1346</v>
      </c>
      <c r="F40" s="317">
        <v>1439</v>
      </c>
      <c r="G40" s="316">
        <v>1450</v>
      </c>
    </row>
    <row r="41" spans="1:7" s="579" customFormat="1" ht="15" customHeight="1">
      <c r="A41" s="593">
        <v>343</v>
      </c>
      <c r="B41" s="587"/>
      <c r="C41" s="585" t="s">
        <v>204</v>
      </c>
      <c r="D41" s="317">
        <v>2457</v>
      </c>
      <c r="E41" s="316">
        <v>2401</v>
      </c>
      <c r="F41" s="317">
        <v>2559</v>
      </c>
      <c r="G41" s="316">
        <v>2401</v>
      </c>
    </row>
    <row r="42" spans="1:7" s="579" customFormat="1" ht="15" customHeight="1">
      <c r="A42" s="593">
        <v>344</v>
      </c>
      <c r="B42" s="587"/>
      <c r="C42" s="585" t="s">
        <v>198</v>
      </c>
      <c r="D42" s="317">
        <v>0</v>
      </c>
      <c r="E42" s="316">
        <v>0</v>
      </c>
      <c r="F42" s="317">
        <v>0</v>
      </c>
      <c r="G42" s="316">
        <v>0</v>
      </c>
    </row>
    <row r="43" spans="1:7" s="579" customFormat="1" ht="15" customHeight="1">
      <c r="A43" s="593">
        <v>349</v>
      </c>
      <c r="B43" s="587"/>
      <c r="C43" s="585" t="s">
        <v>203</v>
      </c>
      <c r="D43" s="317">
        <v>125</v>
      </c>
      <c r="E43" s="316">
        <v>263</v>
      </c>
      <c r="F43" s="317">
        <v>0</v>
      </c>
      <c r="G43" s="316">
        <v>123</v>
      </c>
    </row>
    <row r="44" spans="1:7" s="480" customFormat="1" ht="15" customHeight="1">
      <c r="A44" s="591">
        <v>440</v>
      </c>
      <c r="B44" s="587"/>
      <c r="C44" s="585" t="s">
        <v>202</v>
      </c>
      <c r="D44" s="362">
        <v>11909</v>
      </c>
      <c r="E44" s="316">
        <v>11254</v>
      </c>
      <c r="F44" s="362">
        <v>11028</v>
      </c>
      <c r="G44" s="316">
        <v>10896</v>
      </c>
    </row>
    <row r="45" spans="1:7" s="480" customFormat="1" ht="15" customHeight="1">
      <c r="A45" s="591">
        <v>441</v>
      </c>
      <c r="B45" s="587"/>
      <c r="C45" s="585" t="s">
        <v>201</v>
      </c>
      <c r="D45" s="362">
        <v>0</v>
      </c>
      <c r="E45" s="316">
        <v>0</v>
      </c>
      <c r="F45" s="362">
        <v>0</v>
      </c>
      <c r="G45" s="316">
        <v>0</v>
      </c>
    </row>
    <row r="46" spans="1:7" s="480" customFormat="1" ht="15" customHeight="1">
      <c r="A46" s="591">
        <v>442</v>
      </c>
      <c r="B46" s="587"/>
      <c r="C46" s="585" t="s">
        <v>200</v>
      </c>
      <c r="D46" s="362">
        <v>41979</v>
      </c>
      <c r="E46" s="316">
        <v>43207</v>
      </c>
      <c r="F46" s="362">
        <v>45576</v>
      </c>
      <c r="G46" s="316">
        <v>50081</v>
      </c>
    </row>
    <row r="47" spans="1:7" s="480" customFormat="1" ht="15" customHeight="1">
      <c r="A47" s="591">
        <v>443</v>
      </c>
      <c r="B47" s="587"/>
      <c r="C47" s="585" t="s">
        <v>199</v>
      </c>
      <c r="D47" s="362">
        <v>17617</v>
      </c>
      <c r="E47" s="316">
        <v>17319</v>
      </c>
      <c r="F47" s="362">
        <v>17372</v>
      </c>
      <c r="G47" s="316">
        <v>5592</v>
      </c>
    </row>
    <row r="48" spans="1:7" s="480" customFormat="1" ht="15" customHeight="1">
      <c r="A48" s="591">
        <v>444</v>
      </c>
      <c r="B48" s="587"/>
      <c r="C48" s="585" t="s">
        <v>198</v>
      </c>
      <c r="D48" s="362">
        <v>64</v>
      </c>
      <c r="E48" s="316">
        <v>1000</v>
      </c>
      <c r="F48" s="362">
        <v>109265</v>
      </c>
      <c r="G48" s="316">
        <v>1000</v>
      </c>
    </row>
    <row r="49" spans="1:7" s="480" customFormat="1" ht="15" customHeight="1">
      <c r="A49" s="591">
        <v>445</v>
      </c>
      <c r="B49" s="587"/>
      <c r="C49" s="585" t="s">
        <v>197</v>
      </c>
      <c r="D49" s="362">
        <v>75</v>
      </c>
      <c r="E49" s="316">
        <v>75</v>
      </c>
      <c r="F49" s="362">
        <v>75</v>
      </c>
      <c r="G49" s="316">
        <v>75</v>
      </c>
    </row>
    <row r="50" spans="1:7" s="480" customFormat="1" ht="15" customHeight="1">
      <c r="A50" s="591">
        <v>446</v>
      </c>
      <c r="B50" s="587"/>
      <c r="C50" s="585" t="s">
        <v>196</v>
      </c>
      <c r="D50" s="362">
        <v>23</v>
      </c>
      <c r="E50" s="316">
        <v>0</v>
      </c>
      <c r="F50" s="362">
        <v>0</v>
      </c>
      <c r="G50" s="316">
        <v>0</v>
      </c>
    </row>
    <row r="51" spans="1:7" s="480" customFormat="1" ht="15" customHeight="1">
      <c r="A51" s="591">
        <v>447</v>
      </c>
      <c r="B51" s="587"/>
      <c r="C51" s="585" t="s">
        <v>195</v>
      </c>
      <c r="D51" s="362">
        <v>728</v>
      </c>
      <c r="E51" s="316">
        <v>693</v>
      </c>
      <c r="F51" s="362">
        <v>645</v>
      </c>
      <c r="G51" s="316">
        <v>693</v>
      </c>
    </row>
    <row r="52" spans="1:7" s="480" customFormat="1" ht="15" customHeight="1">
      <c r="A52" s="591">
        <v>448</v>
      </c>
      <c r="B52" s="587"/>
      <c r="C52" s="585" t="s">
        <v>194</v>
      </c>
      <c r="D52" s="362">
        <v>0</v>
      </c>
      <c r="E52" s="316">
        <v>0</v>
      </c>
      <c r="F52" s="362">
        <v>0</v>
      </c>
      <c r="G52" s="316">
        <v>0</v>
      </c>
    </row>
    <row r="53" spans="1:7" s="480" customFormat="1" ht="15" customHeight="1">
      <c r="A53" s="591">
        <v>449</v>
      </c>
      <c r="B53" s="587"/>
      <c r="C53" s="585" t="s">
        <v>193</v>
      </c>
      <c r="D53" s="362">
        <v>0</v>
      </c>
      <c r="E53" s="316">
        <v>0</v>
      </c>
      <c r="F53" s="362">
        <v>0</v>
      </c>
      <c r="G53" s="316">
        <v>0</v>
      </c>
    </row>
    <row r="54" spans="1:7" s="579" customFormat="1" ht="13.5" customHeight="1">
      <c r="A54" s="607" t="s">
        <v>192</v>
      </c>
      <c r="B54" s="580"/>
      <c r="C54" s="580" t="s">
        <v>191</v>
      </c>
      <c r="D54" s="418">
        <v>0</v>
      </c>
      <c r="E54" s="299">
        <v>0</v>
      </c>
      <c r="F54" s="418">
        <v>0</v>
      </c>
      <c r="G54" s="299">
        <v>0</v>
      </c>
    </row>
    <row r="55" spans="1:7" ht="15" customHeight="1">
      <c r="A55" s="606"/>
      <c r="B55" s="606"/>
      <c r="C55" s="576" t="s">
        <v>55</v>
      </c>
      <c r="D55" s="380">
        <f>SUM(D44:D53)-SUM(D38:D43)</f>
        <v>59892</v>
      </c>
      <c r="E55" s="380">
        <f>SUM(E44:E53)-SUM(E38:E43)</f>
        <v>60615</v>
      </c>
      <c r="F55" s="380">
        <f>SUM(F44:F53)-SUM(F38:F43)</f>
        <v>172837</v>
      </c>
      <c r="G55" s="380">
        <f>SUM(G44:G53)-SUM(G38:G43)</f>
        <v>55780</v>
      </c>
    </row>
    <row r="56" spans="1:7" ht="14.25" customHeight="1">
      <c r="A56" s="606"/>
      <c r="B56" s="606"/>
      <c r="C56" s="576" t="s">
        <v>190</v>
      </c>
      <c r="D56" s="380">
        <f>D55+D37</f>
        <v>-28745</v>
      </c>
      <c r="E56" s="380">
        <f>E55+E37</f>
        <v>-27594</v>
      </c>
      <c r="F56" s="380">
        <f>F55+F37</f>
        <v>-138784</v>
      </c>
      <c r="G56" s="380">
        <f>G55+G37</f>
        <v>-6122</v>
      </c>
    </row>
    <row r="57" spans="1:7" s="480" customFormat="1" ht="15.75" customHeight="1">
      <c r="A57" s="605">
        <v>380</v>
      </c>
      <c r="B57" s="604"/>
      <c r="C57" s="603" t="s">
        <v>189</v>
      </c>
      <c r="D57" s="602">
        <v>0</v>
      </c>
      <c r="E57" s="601">
        <v>0</v>
      </c>
      <c r="F57" s="602">
        <v>0</v>
      </c>
      <c r="G57" s="601">
        <v>0</v>
      </c>
    </row>
    <row r="58" spans="1:7" s="480" customFormat="1" ht="15.75" customHeight="1">
      <c r="A58" s="605">
        <v>381</v>
      </c>
      <c r="B58" s="604"/>
      <c r="C58" s="603" t="s">
        <v>188</v>
      </c>
      <c r="D58" s="602">
        <v>0</v>
      </c>
      <c r="E58" s="601">
        <v>0</v>
      </c>
      <c r="F58" s="602">
        <v>0</v>
      </c>
      <c r="G58" s="601">
        <v>0</v>
      </c>
    </row>
    <row r="59" spans="1:7" s="579" customFormat="1" ht="25.5">
      <c r="A59" s="597">
        <v>383</v>
      </c>
      <c r="B59" s="596"/>
      <c r="C59" s="589" t="s">
        <v>187</v>
      </c>
      <c r="D59" s="409">
        <v>0</v>
      </c>
      <c r="E59" s="342">
        <v>0</v>
      </c>
      <c r="F59" s="409">
        <v>0</v>
      </c>
      <c r="G59" s="342">
        <v>0</v>
      </c>
    </row>
    <row r="60" spans="1:7" s="579" customFormat="1">
      <c r="A60" s="597">
        <v>3840</v>
      </c>
      <c r="B60" s="596"/>
      <c r="C60" s="589" t="s">
        <v>186</v>
      </c>
      <c r="D60" s="401">
        <v>0</v>
      </c>
      <c r="E60" s="400">
        <v>0</v>
      </c>
      <c r="F60" s="401">
        <v>0</v>
      </c>
      <c r="G60" s="400">
        <v>0</v>
      </c>
    </row>
    <row r="61" spans="1:7" s="579" customFormat="1">
      <c r="A61" s="597">
        <v>3841</v>
      </c>
      <c r="B61" s="596"/>
      <c r="C61" s="589" t="s">
        <v>185</v>
      </c>
      <c r="D61" s="401">
        <v>0</v>
      </c>
      <c r="E61" s="400">
        <v>0</v>
      </c>
      <c r="F61" s="401">
        <v>0</v>
      </c>
      <c r="G61" s="400">
        <v>0</v>
      </c>
    </row>
    <row r="62" spans="1:7" s="579" customFormat="1">
      <c r="A62" s="600">
        <v>386</v>
      </c>
      <c r="B62" s="599"/>
      <c r="C62" s="598" t="s">
        <v>184</v>
      </c>
      <c r="D62" s="401">
        <v>0</v>
      </c>
      <c r="E62" s="400">
        <v>0</v>
      </c>
      <c r="F62" s="401">
        <v>0</v>
      </c>
      <c r="G62" s="400">
        <v>0</v>
      </c>
    </row>
    <row r="63" spans="1:7" s="579" customFormat="1" ht="25.5">
      <c r="A63" s="597">
        <v>387</v>
      </c>
      <c r="B63" s="596"/>
      <c r="C63" s="589" t="s">
        <v>183</v>
      </c>
      <c r="D63" s="401">
        <v>0</v>
      </c>
      <c r="E63" s="400">
        <v>0</v>
      </c>
      <c r="F63" s="401">
        <v>0</v>
      </c>
      <c r="G63" s="400">
        <v>0</v>
      </c>
    </row>
    <row r="64" spans="1:7" s="579" customFormat="1">
      <c r="A64" s="593">
        <v>389</v>
      </c>
      <c r="B64" s="592"/>
      <c r="C64" s="585" t="s">
        <v>182</v>
      </c>
      <c r="D64" s="317">
        <v>2285</v>
      </c>
      <c r="E64" s="316">
        <v>0</v>
      </c>
      <c r="F64" s="317">
        <v>1916</v>
      </c>
      <c r="G64" s="316">
        <v>0</v>
      </c>
    </row>
    <row r="65" spans="1:7" s="480" customFormat="1">
      <c r="A65" s="593" t="s">
        <v>181</v>
      </c>
      <c r="B65" s="587"/>
      <c r="C65" s="585" t="s">
        <v>180</v>
      </c>
      <c r="D65" s="317">
        <v>0</v>
      </c>
      <c r="E65" s="316">
        <v>0</v>
      </c>
      <c r="F65" s="317">
        <v>0</v>
      </c>
      <c r="G65" s="316">
        <v>0</v>
      </c>
    </row>
    <row r="66" spans="1:7" s="588" customFormat="1">
      <c r="A66" s="666" t="s">
        <v>179</v>
      </c>
      <c r="B66" s="590"/>
      <c r="C66" s="589" t="s">
        <v>178</v>
      </c>
      <c r="D66" s="343">
        <v>0</v>
      </c>
      <c r="E66" s="342">
        <v>0</v>
      </c>
      <c r="F66" s="343">
        <v>0</v>
      </c>
      <c r="G66" s="342">
        <v>0</v>
      </c>
    </row>
    <row r="67" spans="1:7" s="480" customFormat="1">
      <c r="A67" s="584">
        <v>481</v>
      </c>
      <c r="B67" s="587"/>
      <c r="C67" s="585" t="s">
        <v>177</v>
      </c>
      <c r="D67" s="317">
        <v>0</v>
      </c>
      <c r="E67" s="316">
        <v>0</v>
      </c>
      <c r="F67" s="317">
        <v>0</v>
      </c>
      <c r="G67" s="316">
        <v>0</v>
      </c>
    </row>
    <row r="68" spans="1:7" s="480" customFormat="1">
      <c r="A68" s="584">
        <v>482</v>
      </c>
      <c r="B68" s="587"/>
      <c r="C68" s="585" t="s">
        <v>176</v>
      </c>
      <c r="D68" s="317">
        <v>0</v>
      </c>
      <c r="E68" s="316">
        <v>0</v>
      </c>
      <c r="F68" s="317">
        <v>0</v>
      </c>
      <c r="G68" s="316">
        <v>0</v>
      </c>
    </row>
    <row r="69" spans="1:7" s="480" customFormat="1">
      <c r="A69" s="584">
        <v>483</v>
      </c>
      <c r="B69" s="587"/>
      <c r="C69" s="585" t="s">
        <v>175</v>
      </c>
      <c r="D69" s="317">
        <v>0</v>
      </c>
      <c r="E69" s="316">
        <v>0</v>
      </c>
      <c r="F69" s="317">
        <v>0</v>
      </c>
      <c r="G69" s="316">
        <v>0</v>
      </c>
    </row>
    <row r="70" spans="1:7" s="480" customFormat="1">
      <c r="A70" s="584">
        <v>484</v>
      </c>
      <c r="B70" s="587"/>
      <c r="C70" s="585" t="s">
        <v>174</v>
      </c>
      <c r="D70" s="317">
        <v>0</v>
      </c>
      <c r="E70" s="316">
        <v>0</v>
      </c>
      <c r="F70" s="317">
        <v>127203</v>
      </c>
      <c r="G70" s="316">
        <v>2970</v>
      </c>
    </row>
    <row r="71" spans="1:7" s="480" customFormat="1">
      <c r="A71" s="584">
        <v>485</v>
      </c>
      <c r="B71" s="587"/>
      <c r="C71" s="585" t="s">
        <v>173</v>
      </c>
      <c r="D71" s="317">
        <v>0</v>
      </c>
      <c r="E71" s="316">
        <v>0</v>
      </c>
      <c r="F71" s="317">
        <v>0</v>
      </c>
      <c r="G71" s="316">
        <v>0</v>
      </c>
    </row>
    <row r="72" spans="1:7" s="480" customFormat="1">
      <c r="A72" s="584">
        <v>486</v>
      </c>
      <c r="B72" s="587"/>
      <c r="C72" s="585" t="s">
        <v>172</v>
      </c>
      <c r="D72" s="317">
        <v>0</v>
      </c>
      <c r="E72" s="316">
        <v>0</v>
      </c>
      <c r="F72" s="317">
        <v>0</v>
      </c>
      <c r="G72" s="316">
        <v>0</v>
      </c>
    </row>
    <row r="73" spans="1:7" s="579" customFormat="1">
      <c r="A73" s="584">
        <v>487</v>
      </c>
      <c r="B73" s="586"/>
      <c r="C73" s="585" t="s">
        <v>171</v>
      </c>
      <c r="D73" s="362">
        <v>0</v>
      </c>
      <c r="E73" s="316">
        <v>0</v>
      </c>
      <c r="F73" s="362">
        <v>0</v>
      </c>
      <c r="G73" s="316">
        <v>0</v>
      </c>
    </row>
    <row r="74" spans="1:7" s="579" customFormat="1">
      <c r="A74" s="584">
        <v>489</v>
      </c>
      <c r="B74" s="581"/>
      <c r="C74" s="583" t="s">
        <v>170</v>
      </c>
      <c r="D74" s="362">
        <v>22001</v>
      </c>
      <c r="E74" s="316">
        <v>20000</v>
      </c>
      <c r="F74" s="362">
        <v>8409</v>
      </c>
      <c r="G74" s="316">
        <v>0</v>
      </c>
    </row>
    <row r="75" spans="1:7" s="579" customFormat="1">
      <c r="A75" s="582" t="s">
        <v>169</v>
      </c>
      <c r="B75" s="581"/>
      <c r="C75" s="580" t="s">
        <v>168</v>
      </c>
      <c r="D75" s="317">
        <v>0</v>
      </c>
      <c r="E75" s="316">
        <v>0</v>
      </c>
      <c r="F75" s="317">
        <v>0</v>
      </c>
      <c r="G75" s="316">
        <v>0</v>
      </c>
    </row>
    <row r="76" spans="1:7">
      <c r="A76" s="578"/>
      <c r="B76" s="578"/>
      <c r="C76" s="576" t="s">
        <v>167</v>
      </c>
      <c r="D76" s="380">
        <f>SUM(D65:D74)-SUM(D57:D64)</f>
        <v>19716</v>
      </c>
      <c r="E76" s="380">
        <f>SUM(E65:E74)-SUM(E57:E64)</f>
        <v>20000</v>
      </c>
      <c r="F76" s="380">
        <f>SUM(F65:F74)-SUM(F57:F64)</f>
        <v>133696</v>
      </c>
      <c r="G76" s="380">
        <f>SUM(G65:G74)-SUM(G57:G64)</f>
        <v>2970</v>
      </c>
    </row>
    <row r="77" spans="1:7">
      <c r="A77" s="577"/>
      <c r="B77" s="577"/>
      <c r="C77" s="576" t="s">
        <v>166</v>
      </c>
      <c r="D77" s="380">
        <f>D56+D76</f>
        <v>-9029</v>
      </c>
      <c r="E77" s="380">
        <f>E56+E76</f>
        <v>-7594</v>
      </c>
      <c r="F77" s="380">
        <f>F56+F76</f>
        <v>-5088</v>
      </c>
      <c r="G77" s="380">
        <f>G56+G76</f>
        <v>-3152</v>
      </c>
    </row>
    <row r="78" spans="1:7">
      <c r="A78" s="575">
        <v>3</v>
      </c>
      <c r="B78" s="575"/>
      <c r="C78" s="574" t="s">
        <v>165</v>
      </c>
      <c r="D78" s="377">
        <f>D20+D21+SUM(D38:D43)+SUM(D57:D64)</f>
        <v>1943528</v>
      </c>
      <c r="E78" s="377">
        <f>E20+E21+SUM(E38:E43)+SUM(E57:E64)</f>
        <v>1956167</v>
      </c>
      <c r="F78" s="377">
        <f>F20+F21+SUM(F38:F43)+SUM(F57:F64)</f>
        <v>2195239</v>
      </c>
      <c r="G78" s="377">
        <f>G20+G21+SUM(G38:G43)+SUM(G57:G64)</f>
        <v>1973704</v>
      </c>
    </row>
    <row r="79" spans="1:7">
      <c r="A79" s="575">
        <v>4</v>
      </c>
      <c r="B79" s="575"/>
      <c r="C79" s="574" t="s">
        <v>164</v>
      </c>
      <c r="D79" s="377">
        <f>D35+D36+SUM(D44:D53)+SUM(D65:D74)</f>
        <v>1934499</v>
      </c>
      <c r="E79" s="377">
        <f>E35+E36+SUM(E44:E53)+SUM(E65:E74)</f>
        <v>1948573</v>
      </c>
      <c r="F79" s="377">
        <f>F35+F36+SUM(F44:F53)+SUM(F65:F74)</f>
        <v>2190151</v>
      </c>
      <c r="G79" s="377">
        <f>G35+G36+SUM(G44:G53)+SUM(G65:G74)</f>
        <v>1970552</v>
      </c>
    </row>
    <row r="80" spans="1:7">
      <c r="A80" s="534"/>
      <c r="B80" s="534"/>
      <c r="C80" s="533"/>
      <c r="D80" s="260"/>
      <c r="E80" s="260"/>
      <c r="F80" s="260"/>
      <c r="G80" s="260"/>
    </row>
    <row r="81" spans="1:7">
      <c r="A81" s="951" t="s">
        <v>163</v>
      </c>
      <c r="B81" s="952"/>
      <c r="C81" s="952"/>
      <c r="D81" s="376"/>
      <c r="E81" s="375"/>
      <c r="F81" s="376"/>
      <c r="G81" s="375"/>
    </row>
    <row r="82" spans="1:7" s="480" customFormat="1">
      <c r="A82" s="567">
        <v>50</v>
      </c>
      <c r="B82" s="565"/>
      <c r="C82" s="565" t="s">
        <v>162</v>
      </c>
      <c r="D82" s="317">
        <v>109138</v>
      </c>
      <c r="E82" s="316">
        <v>98119</v>
      </c>
      <c r="F82" s="317">
        <v>87842</v>
      </c>
      <c r="G82" s="316">
        <v>79925</v>
      </c>
    </row>
    <row r="83" spans="1:7" s="480" customFormat="1">
      <c r="A83" s="567">
        <v>51</v>
      </c>
      <c r="B83" s="565"/>
      <c r="C83" s="565" t="s">
        <v>161</v>
      </c>
      <c r="D83" s="317">
        <v>0</v>
      </c>
      <c r="E83" s="316">
        <v>0</v>
      </c>
      <c r="F83" s="317">
        <v>0</v>
      </c>
      <c r="G83" s="316">
        <v>0</v>
      </c>
    </row>
    <row r="84" spans="1:7" s="480" customFormat="1">
      <c r="A84" s="567">
        <v>52</v>
      </c>
      <c r="B84" s="565"/>
      <c r="C84" s="565" t="s">
        <v>160</v>
      </c>
      <c r="D84" s="317">
        <v>0</v>
      </c>
      <c r="E84" s="316">
        <v>0</v>
      </c>
      <c r="F84" s="317">
        <v>0</v>
      </c>
      <c r="G84" s="316">
        <v>0</v>
      </c>
    </row>
    <row r="85" spans="1:7" s="480" customFormat="1">
      <c r="A85" s="571">
        <v>54</v>
      </c>
      <c r="B85" s="570"/>
      <c r="C85" s="570" t="s">
        <v>117</v>
      </c>
      <c r="D85" s="317">
        <v>274</v>
      </c>
      <c r="E85" s="316">
        <v>900</v>
      </c>
      <c r="F85" s="317">
        <v>401</v>
      </c>
      <c r="G85" s="316">
        <v>700</v>
      </c>
    </row>
    <row r="86" spans="1:7" s="480" customFormat="1">
      <c r="A86" s="571">
        <v>55</v>
      </c>
      <c r="B86" s="570"/>
      <c r="C86" s="570" t="s">
        <v>159</v>
      </c>
      <c r="D86" s="317">
        <v>0</v>
      </c>
      <c r="E86" s="316">
        <v>0</v>
      </c>
      <c r="F86" s="317">
        <v>0</v>
      </c>
      <c r="G86" s="316">
        <v>0</v>
      </c>
    </row>
    <row r="87" spans="1:7" s="480" customFormat="1">
      <c r="A87" s="571">
        <v>56</v>
      </c>
      <c r="B87" s="570"/>
      <c r="C87" s="570" t="s">
        <v>158</v>
      </c>
      <c r="D87" s="317">
        <v>18181</v>
      </c>
      <c r="E87" s="316">
        <v>20756</v>
      </c>
      <c r="F87" s="317">
        <v>17633</v>
      </c>
      <c r="G87" s="316">
        <v>17188</v>
      </c>
    </row>
    <row r="88" spans="1:7" s="480" customFormat="1">
      <c r="A88" s="567">
        <v>57</v>
      </c>
      <c r="B88" s="565"/>
      <c r="C88" s="565" t="s">
        <v>143</v>
      </c>
      <c r="D88" s="317">
        <v>1219</v>
      </c>
      <c r="E88" s="316">
        <v>3440</v>
      </c>
      <c r="F88" s="317">
        <v>3451</v>
      </c>
      <c r="G88" s="316">
        <v>4270</v>
      </c>
    </row>
    <row r="89" spans="1:7" s="480" customFormat="1">
      <c r="A89" s="567">
        <v>580</v>
      </c>
      <c r="B89" s="565"/>
      <c r="C89" s="565" t="s">
        <v>157</v>
      </c>
      <c r="D89" s="317">
        <v>0</v>
      </c>
      <c r="E89" s="316">
        <v>0</v>
      </c>
      <c r="F89" s="317">
        <v>0</v>
      </c>
      <c r="G89" s="316">
        <v>0</v>
      </c>
    </row>
    <row r="90" spans="1:7" s="480" customFormat="1">
      <c r="A90" s="567">
        <v>582</v>
      </c>
      <c r="B90" s="565"/>
      <c r="C90" s="565" t="s">
        <v>156</v>
      </c>
      <c r="D90" s="317">
        <v>0</v>
      </c>
      <c r="E90" s="316">
        <v>0</v>
      </c>
      <c r="F90" s="317">
        <v>0</v>
      </c>
      <c r="G90" s="316">
        <v>0</v>
      </c>
    </row>
    <row r="91" spans="1:7" s="480" customFormat="1">
      <c r="A91" s="567">
        <v>584</v>
      </c>
      <c r="B91" s="565"/>
      <c r="C91" s="565" t="s">
        <v>155</v>
      </c>
      <c r="D91" s="317">
        <v>0</v>
      </c>
      <c r="E91" s="316">
        <v>0</v>
      </c>
      <c r="F91" s="317">
        <v>0</v>
      </c>
      <c r="G91" s="316">
        <v>0</v>
      </c>
    </row>
    <row r="92" spans="1:7" s="480" customFormat="1">
      <c r="A92" s="567">
        <v>585</v>
      </c>
      <c r="B92" s="565"/>
      <c r="C92" s="565" t="s">
        <v>154</v>
      </c>
      <c r="D92" s="317">
        <v>0</v>
      </c>
      <c r="E92" s="316">
        <v>0</v>
      </c>
      <c r="F92" s="317">
        <v>0</v>
      </c>
      <c r="G92" s="316">
        <v>0</v>
      </c>
    </row>
    <row r="93" spans="1:7" s="480" customFormat="1">
      <c r="A93" s="567">
        <v>586</v>
      </c>
      <c r="B93" s="565"/>
      <c r="C93" s="565" t="s">
        <v>153</v>
      </c>
      <c r="D93" s="317">
        <v>0</v>
      </c>
      <c r="E93" s="316">
        <v>0</v>
      </c>
      <c r="F93" s="317">
        <v>0</v>
      </c>
      <c r="G93" s="316">
        <v>0</v>
      </c>
    </row>
    <row r="94" spans="1:7" s="480" customFormat="1">
      <c r="A94" s="568">
        <v>589</v>
      </c>
      <c r="B94" s="561"/>
      <c r="C94" s="561" t="s">
        <v>152</v>
      </c>
      <c r="D94" s="333">
        <v>0</v>
      </c>
      <c r="E94" s="372">
        <v>0</v>
      </c>
      <c r="F94" s="333">
        <v>0</v>
      </c>
      <c r="G94" s="372">
        <v>1200</v>
      </c>
    </row>
    <row r="95" spans="1:7">
      <c r="A95" s="557">
        <v>5</v>
      </c>
      <c r="B95" s="555"/>
      <c r="C95" s="555" t="s">
        <v>151</v>
      </c>
      <c r="D95" s="348">
        <f>SUM(D82:D94)</f>
        <v>128812</v>
      </c>
      <c r="E95" s="348">
        <f>SUM(E82:E94)</f>
        <v>123215</v>
      </c>
      <c r="F95" s="348">
        <f>SUM(F82:F94)</f>
        <v>109327</v>
      </c>
      <c r="G95" s="348">
        <f>SUM(G82:G94)</f>
        <v>103283</v>
      </c>
    </row>
    <row r="96" spans="1:7" s="480" customFormat="1">
      <c r="A96" s="567">
        <v>60</v>
      </c>
      <c r="B96" s="565"/>
      <c r="C96" s="565" t="s">
        <v>150</v>
      </c>
      <c r="D96" s="317">
        <v>471</v>
      </c>
      <c r="E96" s="316">
        <v>30</v>
      </c>
      <c r="F96" s="317">
        <v>36</v>
      </c>
      <c r="G96" s="316">
        <v>30</v>
      </c>
    </row>
    <row r="97" spans="1:7" s="480" customFormat="1">
      <c r="A97" s="567">
        <v>61</v>
      </c>
      <c r="B97" s="565"/>
      <c r="C97" s="565" t="s">
        <v>149</v>
      </c>
      <c r="D97" s="317">
        <v>0</v>
      </c>
      <c r="E97" s="316">
        <v>0</v>
      </c>
      <c r="F97" s="317">
        <v>0</v>
      </c>
      <c r="G97" s="316">
        <v>0</v>
      </c>
    </row>
    <row r="98" spans="1:7" s="480" customFormat="1">
      <c r="A98" s="567">
        <v>62</v>
      </c>
      <c r="B98" s="565"/>
      <c r="C98" s="565" t="s">
        <v>148</v>
      </c>
      <c r="D98" s="317">
        <v>0</v>
      </c>
      <c r="E98" s="316">
        <v>0</v>
      </c>
      <c r="F98" s="317">
        <v>0</v>
      </c>
      <c r="G98" s="316">
        <v>0</v>
      </c>
    </row>
    <row r="99" spans="1:7" s="480" customFormat="1">
      <c r="A99" s="567">
        <v>63</v>
      </c>
      <c r="B99" s="565"/>
      <c r="C99" s="565" t="s">
        <v>147</v>
      </c>
      <c r="D99" s="317">
        <f>34089-1</f>
        <v>34088</v>
      </c>
      <c r="E99" s="316">
        <f>32706-1</f>
        <v>32705</v>
      </c>
      <c r="F99" s="317">
        <v>30892</v>
      </c>
      <c r="G99" s="316">
        <v>28419</v>
      </c>
    </row>
    <row r="100" spans="1:7" s="480" customFormat="1">
      <c r="A100" s="567">
        <v>64</v>
      </c>
      <c r="B100" s="565"/>
      <c r="C100" s="565" t="s">
        <v>146</v>
      </c>
      <c r="D100" s="317">
        <v>0</v>
      </c>
      <c r="E100" s="316">
        <v>0</v>
      </c>
      <c r="F100" s="317">
        <v>0</v>
      </c>
      <c r="G100" s="316">
        <v>0</v>
      </c>
    </row>
    <row r="101" spans="1:7" s="480" customFormat="1">
      <c r="A101" s="567">
        <v>65</v>
      </c>
      <c r="B101" s="565"/>
      <c r="C101" s="565" t="s">
        <v>145</v>
      </c>
      <c r="D101" s="317">
        <v>0</v>
      </c>
      <c r="E101" s="316">
        <v>0</v>
      </c>
      <c r="F101" s="317">
        <v>0</v>
      </c>
      <c r="G101" s="316">
        <v>0</v>
      </c>
    </row>
    <row r="102" spans="1:7" s="480" customFormat="1">
      <c r="A102" s="567">
        <v>66</v>
      </c>
      <c r="B102" s="565"/>
      <c r="C102" s="565" t="s">
        <v>144</v>
      </c>
      <c r="D102" s="317">
        <v>954</v>
      </c>
      <c r="E102" s="316">
        <v>600</v>
      </c>
      <c r="F102" s="317">
        <v>652</v>
      </c>
      <c r="G102" s="316">
        <v>500</v>
      </c>
    </row>
    <row r="103" spans="1:7" s="480" customFormat="1">
      <c r="A103" s="567">
        <v>67</v>
      </c>
      <c r="B103" s="565"/>
      <c r="C103" s="565" t="s">
        <v>143</v>
      </c>
      <c r="D103" s="362">
        <v>1219</v>
      </c>
      <c r="E103" s="361">
        <v>3440</v>
      </c>
      <c r="F103" s="362">
        <v>3451</v>
      </c>
      <c r="G103" s="361">
        <v>4270</v>
      </c>
    </row>
    <row r="104" spans="1:7" s="480" customFormat="1" ht="25.5">
      <c r="A104" s="566" t="s">
        <v>142</v>
      </c>
      <c r="B104" s="565"/>
      <c r="C104" s="564" t="s">
        <v>141</v>
      </c>
      <c r="D104" s="362">
        <v>9002</v>
      </c>
      <c r="E104" s="361">
        <f>11860</f>
        <v>11860</v>
      </c>
      <c r="F104" s="362">
        <v>1761</v>
      </c>
      <c r="G104" s="361">
        <v>3780</v>
      </c>
    </row>
    <row r="105" spans="1:7" s="480" customFormat="1" ht="38.25">
      <c r="A105" s="562" t="s">
        <v>140</v>
      </c>
      <c r="B105" s="561"/>
      <c r="C105" s="560" t="s">
        <v>139</v>
      </c>
      <c r="D105" s="355">
        <v>875</v>
      </c>
      <c r="E105" s="354">
        <v>1300</v>
      </c>
      <c r="F105" s="355">
        <v>0</v>
      </c>
      <c r="G105" s="354">
        <v>1300</v>
      </c>
    </row>
    <row r="106" spans="1:7">
      <c r="A106" s="557">
        <v>6</v>
      </c>
      <c r="B106" s="555"/>
      <c r="C106" s="555" t="s">
        <v>138</v>
      </c>
      <c r="D106" s="348">
        <f>SUM(D96:D105)</f>
        <v>46609</v>
      </c>
      <c r="E106" s="348">
        <f>SUM(E96:E105)</f>
        <v>49935</v>
      </c>
      <c r="F106" s="348">
        <f>SUM(F96:F105)</f>
        <v>36792</v>
      </c>
      <c r="G106" s="348">
        <f>SUM(G96:G105)</f>
        <v>38299</v>
      </c>
    </row>
    <row r="107" spans="1:7">
      <c r="A107" s="556" t="s">
        <v>137</v>
      </c>
      <c r="B107" s="556"/>
      <c r="C107" s="555" t="s">
        <v>3</v>
      </c>
      <c r="D107" s="348">
        <f>(D95-D88)-(D106-D103)</f>
        <v>82203</v>
      </c>
      <c r="E107" s="348">
        <f>(E95-E88)-(E106-E103)</f>
        <v>73280</v>
      </c>
      <c r="F107" s="348">
        <f>(F95-F88)-(F106-F103)</f>
        <v>72535</v>
      </c>
      <c r="G107" s="348">
        <f>(G95-G88)-(G106-G103)</f>
        <v>64984</v>
      </c>
    </row>
    <row r="108" spans="1:7">
      <c r="A108" s="554" t="s">
        <v>136</v>
      </c>
      <c r="B108" s="554"/>
      <c r="C108" s="553" t="s">
        <v>135</v>
      </c>
      <c r="D108" s="552">
        <f>D107-D85-D86+D100+D101</f>
        <v>81929</v>
      </c>
      <c r="E108" s="552">
        <f>E107-E85-E86+E100+E101</f>
        <v>72380</v>
      </c>
      <c r="F108" s="552">
        <f>F107-F85-F86+F100+F101</f>
        <v>72134</v>
      </c>
      <c r="G108" s="552">
        <f>G107-G85-G86+G100+G101</f>
        <v>64284</v>
      </c>
    </row>
    <row r="109" spans="1:7">
      <c r="A109" s="534"/>
      <c r="B109" s="534"/>
      <c r="C109" s="533"/>
      <c r="D109" s="260"/>
      <c r="E109" s="260"/>
      <c r="F109" s="260"/>
      <c r="G109" s="260"/>
    </row>
    <row r="110" spans="1:7" s="512" customFormat="1">
      <c r="A110" s="550" t="s">
        <v>134</v>
      </c>
      <c r="B110" s="551"/>
      <c r="C110" s="550"/>
      <c r="D110" s="260"/>
      <c r="E110" s="260"/>
      <c r="F110" s="260"/>
      <c r="G110" s="260"/>
    </row>
    <row r="111" spans="1:7" s="516" customFormat="1">
      <c r="A111" s="532">
        <v>10</v>
      </c>
      <c r="B111" s="531"/>
      <c r="C111" s="531" t="s">
        <v>133</v>
      </c>
      <c r="D111" s="327">
        <f>D112+D117</f>
        <v>511947</v>
      </c>
      <c r="E111" s="326">
        <f>E112+E117</f>
        <v>0</v>
      </c>
      <c r="F111" s="327">
        <f>F112+F117</f>
        <v>647090</v>
      </c>
      <c r="G111" s="326">
        <f>G112+G117</f>
        <v>0</v>
      </c>
    </row>
    <row r="112" spans="1:7" s="516" customFormat="1">
      <c r="A112" s="539" t="s">
        <v>132</v>
      </c>
      <c r="B112" s="519"/>
      <c r="C112" s="519" t="s">
        <v>131</v>
      </c>
      <c r="D112" s="327">
        <f>D113+D114+D115+D116</f>
        <v>428819</v>
      </c>
      <c r="E112" s="326">
        <f>E113+E114+E115+E116</f>
        <v>0</v>
      </c>
      <c r="F112" s="327">
        <f>F113+F114+F115+F116</f>
        <v>446644</v>
      </c>
      <c r="G112" s="326">
        <f>G113+G114+G115+G116</f>
        <v>0</v>
      </c>
    </row>
    <row r="113" spans="1:7" s="516" customFormat="1">
      <c r="A113" s="537" t="s">
        <v>130</v>
      </c>
      <c r="B113" s="526"/>
      <c r="C113" s="526" t="s">
        <v>129</v>
      </c>
      <c r="D113" s="317">
        <f>51591+328047</f>
        <v>379638</v>
      </c>
      <c r="E113" s="316"/>
      <c r="F113" s="317">
        <v>396611</v>
      </c>
      <c r="G113" s="316"/>
    </row>
    <row r="114" spans="1:7" s="546" customFormat="1" ht="15" customHeight="1">
      <c r="A114" s="524">
        <v>102</v>
      </c>
      <c r="B114" s="665"/>
      <c r="C114" s="665" t="s">
        <v>128</v>
      </c>
      <c r="D114" s="343">
        <v>0</v>
      </c>
      <c r="E114" s="342"/>
      <c r="F114" s="343">
        <v>0</v>
      </c>
      <c r="G114" s="342"/>
    </row>
    <row r="115" spans="1:7" s="516" customFormat="1">
      <c r="A115" s="537">
        <v>104</v>
      </c>
      <c r="B115" s="526"/>
      <c r="C115" s="526" t="s">
        <v>127</v>
      </c>
      <c r="D115" s="317">
        <v>46163</v>
      </c>
      <c r="E115" s="316"/>
      <c r="F115" s="317">
        <v>47114</v>
      </c>
      <c r="G115" s="316"/>
    </row>
    <row r="116" spans="1:7" s="516" customFormat="1">
      <c r="A116" s="537">
        <v>106</v>
      </c>
      <c r="B116" s="526"/>
      <c r="C116" s="526" t="s">
        <v>126</v>
      </c>
      <c r="D116" s="317">
        <v>3018</v>
      </c>
      <c r="E116" s="316"/>
      <c r="F116" s="317">
        <v>2919</v>
      </c>
      <c r="G116" s="316"/>
    </row>
    <row r="117" spans="1:7" s="516" customFormat="1">
      <c r="A117" s="539" t="s">
        <v>125</v>
      </c>
      <c r="B117" s="519"/>
      <c r="C117" s="519" t="s">
        <v>124</v>
      </c>
      <c r="D117" s="327">
        <f>D118+D119+D120</f>
        <v>83128</v>
      </c>
      <c r="E117" s="326">
        <f>E118+E119+E120</f>
        <v>0</v>
      </c>
      <c r="F117" s="327">
        <f>F118+F119+F120</f>
        <v>200446</v>
      </c>
      <c r="G117" s="326">
        <f>G118+G119+G120</f>
        <v>0</v>
      </c>
    </row>
    <row r="118" spans="1:7" s="516" customFormat="1">
      <c r="A118" s="537">
        <v>107</v>
      </c>
      <c r="B118" s="526"/>
      <c r="C118" s="526" t="s">
        <v>123</v>
      </c>
      <c r="D118" s="317">
        <v>36991</v>
      </c>
      <c r="E118" s="316"/>
      <c r="F118" s="317">
        <v>151501</v>
      </c>
      <c r="G118" s="316"/>
    </row>
    <row r="119" spans="1:7" s="516" customFormat="1">
      <c r="A119" s="537">
        <v>108</v>
      </c>
      <c r="B119" s="526"/>
      <c r="C119" s="526" t="s">
        <v>122</v>
      </c>
      <c r="D119" s="317">
        <v>46137</v>
      </c>
      <c r="E119" s="316"/>
      <c r="F119" s="317">
        <v>48945</v>
      </c>
      <c r="G119" s="316"/>
    </row>
    <row r="120" spans="1:7" s="538" customFormat="1" ht="25.5">
      <c r="A120" s="524">
        <v>109</v>
      </c>
      <c r="B120" s="523"/>
      <c r="C120" s="523" t="s">
        <v>121</v>
      </c>
      <c r="D120" s="311">
        <v>0</v>
      </c>
      <c r="E120" s="310"/>
      <c r="F120" s="311">
        <v>0</v>
      </c>
      <c r="G120" s="310"/>
    </row>
    <row r="121" spans="1:7" s="516" customFormat="1">
      <c r="A121" s="539">
        <v>14</v>
      </c>
      <c r="B121" s="519"/>
      <c r="C121" s="519" t="s">
        <v>120</v>
      </c>
      <c r="D121" s="327">
        <f>SUM(D122:D130)</f>
        <v>1021854</v>
      </c>
      <c r="E121" s="327">
        <f>SUM(E122:E130)</f>
        <v>0</v>
      </c>
      <c r="F121" s="327">
        <f>SUM(F122:F130)</f>
        <v>999866</v>
      </c>
      <c r="G121" s="327">
        <f>SUM(G122:G130)</f>
        <v>0</v>
      </c>
    </row>
    <row r="122" spans="1:7" s="516" customFormat="1">
      <c r="A122" s="537" t="s">
        <v>119</v>
      </c>
      <c r="B122" s="526"/>
      <c r="C122" s="526" t="s">
        <v>118</v>
      </c>
      <c r="D122" s="317">
        <f>317209</f>
        <v>317209</v>
      </c>
      <c r="E122" s="316"/>
      <c r="F122" s="317">
        <v>337719</v>
      </c>
      <c r="G122" s="317"/>
    </row>
    <row r="123" spans="1:7" s="516" customFormat="1">
      <c r="A123" s="537">
        <v>144</v>
      </c>
      <c r="B123" s="526"/>
      <c r="C123" s="526" t="s">
        <v>117</v>
      </c>
      <c r="D123" s="317">
        <v>129993</v>
      </c>
      <c r="E123" s="316"/>
      <c r="F123" s="317">
        <v>137526</v>
      </c>
      <c r="G123" s="317"/>
    </row>
    <row r="124" spans="1:7" s="516" customFormat="1">
      <c r="A124" s="537">
        <v>145</v>
      </c>
      <c r="B124" s="526"/>
      <c r="C124" s="526" t="s">
        <v>116</v>
      </c>
      <c r="D124" s="317">
        <v>574652</v>
      </c>
      <c r="E124" s="304"/>
      <c r="F124" s="317">
        <v>524621</v>
      </c>
      <c r="G124" s="317"/>
    </row>
    <row r="125" spans="1:7" s="516" customFormat="1">
      <c r="A125" s="537">
        <v>146</v>
      </c>
      <c r="B125" s="526"/>
      <c r="C125" s="526" t="s">
        <v>115</v>
      </c>
      <c r="D125" s="317">
        <v>0</v>
      </c>
      <c r="E125" s="304"/>
      <c r="F125" s="317">
        <v>0</v>
      </c>
      <c r="G125" s="317">
        <v>0</v>
      </c>
    </row>
    <row r="126" spans="1:7" s="538" customFormat="1" ht="29.45" customHeight="1">
      <c r="A126" s="524" t="s">
        <v>114</v>
      </c>
      <c r="B126" s="523"/>
      <c r="C126" s="523" t="s">
        <v>113</v>
      </c>
      <c r="D126" s="311">
        <v>0</v>
      </c>
      <c r="E126" s="339"/>
      <c r="F126" s="311">
        <v>0</v>
      </c>
      <c r="G126" s="311">
        <v>0</v>
      </c>
    </row>
    <row r="127" spans="1:7" s="516" customFormat="1">
      <c r="A127" s="537">
        <v>1484</v>
      </c>
      <c r="B127" s="526"/>
      <c r="C127" s="526" t="s">
        <v>112</v>
      </c>
      <c r="D127" s="317">
        <v>0</v>
      </c>
      <c r="E127" s="304"/>
      <c r="F127" s="317">
        <v>0</v>
      </c>
      <c r="G127" s="317">
        <v>0</v>
      </c>
    </row>
    <row r="128" spans="1:7" s="516" customFormat="1">
      <c r="A128" s="537">
        <v>1485</v>
      </c>
      <c r="B128" s="526"/>
      <c r="C128" s="526" t="s">
        <v>111</v>
      </c>
      <c r="D128" s="317">
        <v>0</v>
      </c>
      <c r="E128" s="304"/>
      <c r="F128" s="317">
        <v>0</v>
      </c>
      <c r="G128" s="317">
        <v>0</v>
      </c>
    </row>
    <row r="129" spans="1:7" s="516" customFormat="1">
      <c r="A129" s="537">
        <v>1486</v>
      </c>
      <c r="B129" s="526"/>
      <c r="C129" s="526" t="s">
        <v>110</v>
      </c>
      <c r="D129" s="317">
        <v>0</v>
      </c>
      <c r="E129" s="304"/>
      <c r="F129" s="317">
        <v>0</v>
      </c>
      <c r="G129" s="317">
        <v>0</v>
      </c>
    </row>
    <row r="130" spans="1:7" s="516" customFormat="1">
      <c r="A130" s="536">
        <v>1489</v>
      </c>
      <c r="B130" s="535"/>
      <c r="C130" s="535" t="s">
        <v>109</v>
      </c>
      <c r="D130" s="333">
        <v>0</v>
      </c>
      <c r="E130" s="332"/>
      <c r="F130" s="333">
        <v>0</v>
      </c>
      <c r="G130" s="333">
        <v>0</v>
      </c>
    </row>
    <row r="131" spans="1:7" s="512" customFormat="1">
      <c r="A131" s="515">
        <v>1</v>
      </c>
      <c r="B131" s="514"/>
      <c r="C131" s="515" t="s">
        <v>108</v>
      </c>
      <c r="D131" s="295">
        <f>D111+D121</f>
        <v>1533801</v>
      </c>
      <c r="E131" s="295">
        <f>E111+E121</f>
        <v>0</v>
      </c>
      <c r="F131" s="295">
        <f>F111+F121</f>
        <v>1646956</v>
      </c>
      <c r="G131" s="295">
        <f>G111+G121</f>
        <v>0</v>
      </c>
    </row>
    <row r="132" spans="1:7" s="512" customFormat="1">
      <c r="A132" s="534"/>
      <c r="B132" s="534"/>
      <c r="C132" s="533"/>
      <c r="D132" s="260"/>
      <c r="E132" s="260"/>
      <c r="F132" s="260"/>
      <c r="G132" s="260"/>
    </row>
    <row r="133" spans="1:7" s="516" customFormat="1">
      <c r="A133" s="532">
        <v>20</v>
      </c>
      <c r="B133" s="531"/>
      <c r="C133" s="531" t="s">
        <v>107</v>
      </c>
      <c r="D133" s="329">
        <f>D134+D140</f>
        <v>1128088</v>
      </c>
      <c r="E133" s="530">
        <f>E134+E140</f>
        <v>0</v>
      </c>
      <c r="F133" s="329">
        <f>F134+F140</f>
        <v>1140190</v>
      </c>
      <c r="G133" s="530">
        <f>G134+G140</f>
        <v>0</v>
      </c>
    </row>
    <row r="134" spans="1:7" s="516" customFormat="1">
      <c r="A134" s="520" t="s">
        <v>106</v>
      </c>
      <c r="B134" s="519"/>
      <c r="C134" s="519" t="s">
        <v>105</v>
      </c>
      <c r="D134" s="327">
        <f>D135+D136+D138+D139</f>
        <v>462279</v>
      </c>
      <c r="E134" s="326">
        <f>E135+E136+E138+E139</f>
        <v>0</v>
      </c>
      <c r="F134" s="327">
        <f>F135+F136+F138+F139</f>
        <v>444700</v>
      </c>
      <c r="G134" s="326">
        <f>G135+G136+G138+G139</f>
        <v>0</v>
      </c>
    </row>
    <row r="135" spans="1:7" s="525" customFormat="1">
      <c r="A135" s="527">
        <v>200</v>
      </c>
      <c r="B135" s="526"/>
      <c r="C135" s="526" t="s">
        <v>104</v>
      </c>
      <c r="D135" s="317">
        <v>206732</v>
      </c>
      <c r="E135" s="316"/>
      <c r="F135" s="317">
        <v>228441</v>
      </c>
      <c r="G135" s="316"/>
    </row>
    <row r="136" spans="1:7" s="525" customFormat="1">
      <c r="A136" s="527">
        <v>201</v>
      </c>
      <c r="B136" s="526"/>
      <c r="C136" s="526" t="s">
        <v>103</v>
      </c>
      <c r="D136" s="317">
        <v>191935</v>
      </c>
      <c r="E136" s="316"/>
      <c r="F136" s="317">
        <v>130565</v>
      </c>
      <c r="G136" s="316"/>
    </row>
    <row r="137" spans="1:7" s="525" customFormat="1">
      <c r="A137" s="529" t="s">
        <v>102</v>
      </c>
      <c r="B137" s="528"/>
      <c r="C137" s="528" t="s">
        <v>101</v>
      </c>
      <c r="D137" s="322">
        <v>0</v>
      </c>
      <c r="E137" s="328"/>
      <c r="F137" s="322">
        <v>0</v>
      </c>
      <c r="G137" s="328"/>
    </row>
    <row r="138" spans="1:7" s="525" customFormat="1">
      <c r="A138" s="527">
        <v>204</v>
      </c>
      <c r="B138" s="526"/>
      <c r="C138" s="526" t="s">
        <v>100</v>
      </c>
      <c r="D138" s="317">
        <v>46990</v>
      </c>
      <c r="E138" s="304"/>
      <c r="F138" s="317">
        <v>68913</v>
      </c>
      <c r="G138" s="304"/>
    </row>
    <row r="139" spans="1:7" s="525" customFormat="1">
      <c r="A139" s="527">
        <v>205</v>
      </c>
      <c r="B139" s="526"/>
      <c r="C139" s="526" t="s">
        <v>99</v>
      </c>
      <c r="D139" s="317">
        <v>16622</v>
      </c>
      <c r="E139" s="304"/>
      <c r="F139" s="317">
        <v>16781</v>
      </c>
      <c r="G139" s="304"/>
    </row>
    <row r="140" spans="1:7" s="525" customFormat="1">
      <c r="A140" s="520" t="s">
        <v>98</v>
      </c>
      <c r="B140" s="519"/>
      <c r="C140" s="519" t="s">
        <v>97</v>
      </c>
      <c r="D140" s="327">
        <f>D141+D143+D144</f>
        <v>665809</v>
      </c>
      <c r="E140" s="326">
        <f>E141+E143+E144</f>
        <v>0</v>
      </c>
      <c r="F140" s="327">
        <f>F141+F143+F144</f>
        <v>695490</v>
      </c>
      <c r="G140" s="326">
        <f>G141+G143+G144</f>
        <v>0</v>
      </c>
    </row>
    <row r="141" spans="1:7" s="525" customFormat="1">
      <c r="A141" s="527">
        <v>206</v>
      </c>
      <c r="B141" s="526"/>
      <c r="C141" s="526" t="s">
        <v>96</v>
      </c>
      <c r="D141" s="317">
        <v>437596</v>
      </c>
      <c r="E141" s="304"/>
      <c r="F141" s="317">
        <v>415397</v>
      </c>
      <c r="G141" s="304"/>
    </row>
    <row r="142" spans="1:7" s="525" customFormat="1">
      <c r="A142" s="529" t="s">
        <v>95</v>
      </c>
      <c r="B142" s="528"/>
      <c r="C142" s="528" t="s">
        <v>94</v>
      </c>
      <c r="D142" s="322">
        <v>0</v>
      </c>
      <c r="E142" s="328"/>
      <c r="F142" s="322">
        <v>0</v>
      </c>
      <c r="G142" s="328"/>
    </row>
    <row r="143" spans="1:7" s="525" customFormat="1">
      <c r="A143" s="527">
        <v>208</v>
      </c>
      <c r="B143" s="526"/>
      <c r="C143" s="526" t="s">
        <v>93</v>
      </c>
      <c r="D143" s="317">
        <v>42185</v>
      </c>
      <c r="E143" s="304"/>
      <c r="F143" s="317">
        <v>70756</v>
      </c>
      <c r="G143" s="304"/>
    </row>
    <row r="144" spans="1:7" s="521" customFormat="1" ht="25.5">
      <c r="A144" s="524">
        <v>209</v>
      </c>
      <c r="B144" s="523"/>
      <c r="C144" s="523" t="s">
        <v>92</v>
      </c>
      <c r="D144" s="311">
        <v>186028</v>
      </c>
      <c r="E144" s="339"/>
      <c r="F144" s="311">
        <v>209337</v>
      </c>
      <c r="G144" s="339"/>
    </row>
    <row r="145" spans="1:7" s="516" customFormat="1">
      <c r="A145" s="520">
        <v>29</v>
      </c>
      <c r="B145" s="519"/>
      <c r="C145" s="519" t="s">
        <v>61</v>
      </c>
      <c r="D145" s="305">
        <v>405713</v>
      </c>
      <c r="E145" s="304"/>
      <c r="F145" s="305">
        <v>506766</v>
      </c>
      <c r="G145" s="304"/>
    </row>
    <row r="146" spans="1:7" s="516" customFormat="1">
      <c r="A146" s="518" t="s">
        <v>91</v>
      </c>
      <c r="B146" s="517"/>
      <c r="C146" s="517" t="s">
        <v>90</v>
      </c>
      <c r="D146" s="300">
        <v>216481</v>
      </c>
      <c r="E146" s="299"/>
      <c r="F146" s="300">
        <v>211393</v>
      </c>
      <c r="G146" s="299"/>
    </row>
    <row r="147" spans="1:7" s="512" customFormat="1">
      <c r="A147" s="515">
        <v>2</v>
      </c>
      <c r="B147" s="514"/>
      <c r="C147" s="515" t="s">
        <v>89</v>
      </c>
      <c r="D147" s="295">
        <f>D133+D145</f>
        <v>1533801</v>
      </c>
      <c r="E147" s="295">
        <f>E133+E145</f>
        <v>0</v>
      </c>
      <c r="F147" s="295">
        <f>F133+F145</f>
        <v>1646956</v>
      </c>
      <c r="G147" s="295">
        <f>G133+G145</f>
        <v>0</v>
      </c>
    </row>
    <row r="148" spans="1:7" ht="7.5" customHeight="1">
      <c r="D148" s="512"/>
      <c r="F148" s="512"/>
    </row>
    <row r="149" spans="1:7" ht="13.5" customHeight="1">
      <c r="A149" s="511" t="s">
        <v>88</v>
      </c>
      <c r="B149" s="509"/>
      <c r="C149" s="664" t="s">
        <v>87</v>
      </c>
      <c r="D149" s="509"/>
      <c r="E149" s="509"/>
      <c r="F149" s="509"/>
      <c r="G149" s="509"/>
    </row>
    <row r="150" spans="1:7">
      <c r="A150" s="658" t="s">
        <v>86</v>
      </c>
      <c r="B150" s="494"/>
      <c r="C150" s="494" t="s">
        <v>85</v>
      </c>
      <c r="D150" s="268">
        <f>D77+SUM(D8:D12)-D30-D31+D16-D33+D59+D63-D73+D64-D74-D54+D20-D35</f>
        <v>27000</v>
      </c>
      <c r="E150" s="268">
        <f>E77+SUM(E8:E12)-E30-E31+E16-E33+E59+E63-E73+E64-E74-E54+E20-E35</f>
        <v>28859</v>
      </c>
      <c r="F150" s="268">
        <f>F77+SUM(F8:F12)-F30-F31+F16-F33+F59+F63-F73+F64-F74-F54+F20-F35</f>
        <v>268455</v>
      </c>
      <c r="G150" s="268">
        <f>G77+SUM(G8:G12)-G30-G31+G16-G33+G59+G63-G73+G64-G74-G54+G20-G35</f>
        <v>31422</v>
      </c>
    </row>
    <row r="151" spans="1:7">
      <c r="A151" s="654" t="s">
        <v>84</v>
      </c>
      <c r="B151" s="488"/>
      <c r="C151" s="488" t="s">
        <v>83</v>
      </c>
      <c r="D151" s="269">
        <f>IF(D177=0,0,D150/D177)</f>
        <v>1.7998080204778156E-2</v>
      </c>
      <c r="E151" s="269">
        <f>IF(E177=0,0,E150/E177)</f>
        <v>1.9222750507229096E-2</v>
      </c>
      <c r="F151" s="269">
        <f>IF(F177=0,0,F150/F177)</f>
        <v>0.15197524511177574</v>
      </c>
      <c r="G151" s="269">
        <f>IF(G177=0,0,G150/G177)</f>
        <v>2.0502240291580459E-2</v>
      </c>
    </row>
    <row r="152" spans="1:7" s="504" customFormat="1" ht="25.5">
      <c r="A152" s="508" t="s">
        <v>81</v>
      </c>
      <c r="B152" s="507"/>
      <c r="C152" s="507" t="s">
        <v>82</v>
      </c>
      <c r="D152" s="505">
        <f>IF(D107=0,0,D150/D107)</f>
        <v>0.32845516586985879</v>
      </c>
      <c r="E152" s="505">
        <f>IF(E107=0,0,E150/E107)</f>
        <v>0.39381823144104805</v>
      </c>
      <c r="F152" s="505">
        <f>IF(F107=0,0,F150/F107)</f>
        <v>3.7010408768180878</v>
      </c>
      <c r="G152" s="505">
        <f>IF(G107=0,0,G150/G107)</f>
        <v>0.48353440846977719</v>
      </c>
    </row>
    <row r="153" spans="1:7" s="504" customFormat="1" ht="25.5">
      <c r="A153" s="497" t="s">
        <v>81</v>
      </c>
      <c r="B153" s="500"/>
      <c r="C153" s="500" t="s">
        <v>80</v>
      </c>
      <c r="D153" s="274">
        <f>IF(0=D108,0,D150/D108)</f>
        <v>0.32955363790599179</v>
      </c>
      <c r="E153" s="274">
        <f>IF(0=E108,0,E150/E108)</f>
        <v>0.39871511467256149</v>
      </c>
      <c r="F153" s="274">
        <f>IF(0=F108,0,F150/F108)</f>
        <v>3.7216153270302494</v>
      </c>
      <c r="G153" s="274">
        <f>IF(0=G108,0,G150/G108)</f>
        <v>0.48879970132536865</v>
      </c>
    </row>
    <row r="154" spans="1:7" ht="25.5">
      <c r="A154" s="503" t="s">
        <v>79</v>
      </c>
      <c r="B154" s="502"/>
      <c r="C154" s="502" t="s">
        <v>78</v>
      </c>
      <c r="D154" s="279">
        <f>D150-D107</f>
        <v>-55203</v>
      </c>
      <c r="E154" s="279">
        <f>E150-E107</f>
        <v>-44421</v>
      </c>
      <c r="F154" s="279">
        <f>F150-F107</f>
        <v>195920</v>
      </c>
      <c r="G154" s="279">
        <f>G150-G107</f>
        <v>-33562</v>
      </c>
    </row>
    <row r="155" spans="1:7" ht="25.5">
      <c r="A155" s="497" t="s">
        <v>77</v>
      </c>
      <c r="B155" s="500"/>
      <c r="C155" s="500" t="s">
        <v>76</v>
      </c>
      <c r="D155" s="282">
        <f>D150-D108</f>
        <v>-54929</v>
      </c>
      <c r="E155" s="282">
        <f>E150-E108</f>
        <v>-43521</v>
      </c>
      <c r="F155" s="282">
        <f>F150-F108</f>
        <v>196321</v>
      </c>
      <c r="G155" s="282">
        <f>G150-G108</f>
        <v>-32862</v>
      </c>
    </row>
    <row r="156" spans="1:7">
      <c r="A156" s="658" t="s">
        <v>75</v>
      </c>
      <c r="B156" s="494"/>
      <c r="C156" s="494" t="s">
        <v>74</v>
      </c>
      <c r="D156" s="277">
        <f>D135+D136-D137+D141-D142</f>
        <v>836263</v>
      </c>
      <c r="E156" s="277">
        <f>E135+E136-E137+E141-E142</f>
        <v>0</v>
      </c>
      <c r="F156" s="277">
        <f>F135+F136-F137+F141-F142</f>
        <v>774403</v>
      </c>
      <c r="G156" s="277">
        <f>G135+G136-G137+G141-G142</f>
        <v>0</v>
      </c>
    </row>
    <row r="157" spans="1:7">
      <c r="A157" s="656" t="s">
        <v>73</v>
      </c>
      <c r="B157" s="491"/>
      <c r="C157" s="491" t="s">
        <v>72</v>
      </c>
      <c r="D157" s="273">
        <f>IF(D177=0,0,D156/D177)</f>
        <v>0.55744920541808873</v>
      </c>
      <c r="E157" s="273">
        <f>IF(E177=0,0,E156/E177)</f>
        <v>0</v>
      </c>
      <c r="F157" s="273">
        <f>IF(F177=0,0,F156/F177)</f>
        <v>0.43839781617140472</v>
      </c>
      <c r="G157" s="273">
        <f>IF(G177=0,0,G156/G177)</f>
        <v>0</v>
      </c>
    </row>
    <row r="158" spans="1:7">
      <c r="A158" s="658" t="s">
        <v>71</v>
      </c>
      <c r="B158" s="494"/>
      <c r="C158" s="494" t="s">
        <v>70</v>
      </c>
      <c r="D158" s="277">
        <f>D133-D142-D111</f>
        <v>616141</v>
      </c>
      <c r="E158" s="277">
        <f>E133-E142-E111</f>
        <v>0</v>
      </c>
      <c r="F158" s="277">
        <f>F133-F142-F111</f>
        <v>493100</v>
      </c>
      <c r="G158" s="277">
        <f>G133-G142-G111</f>
        <v>0</v>
      </c>
    </row>
    <row r="159" spans="1:7">
      <c r="A159" s="654" t="s">
        <v>69</v>
      </c>
      <c r="B159" s="488"/>
      <c r="C159" s="488" t="s">
        <v>68</v>
      </c>
      <c r="D159" s="265">
        <f>D121-D123-D124-D142-D145</f>
        <v>-88504</v>
      </c>
      <c r="E159" s="265">
        <f>E121-E123-E124-E142-E145</f>
        <v>0</v>
      </c>
      <c r="F159" s="265">
        <f>F121-F123-F124-F142-F145</f>
        <v>-169047</v>
      </c>
      <c r="G159" s="265">
        <f>G121-G123-G124-G142-G145</f>
        <v>0</v>
      </c>
    </row>
    <row r="160" spans="1:7">
      <c r="A160" s="654" t="s">
        <v>66</v>
      </c>
      <c r="B160" s="488"/>
      <c r="C160" s="488" t="s">
        <v>67</v>
      </c>
      <c r="D160" s="276">
        <f>IF(D175=0,"-",1000*D158/D175)</f>
        <v>2403.0460218408734</v>
      </c>
      <c r="E160" s="276">
        <f>IF(E175=0,"-",1000*E158/E175)</f>
        <v>0</v>
      </c>
      <c r="F160" s="276">
        <f>IF(F175=0,"-",1000*F158/F175)</f>
        <v>1882.1185379706251</v>
      </c>
      <c r="G160" s="276">
        <f>IF(G175=0,"-",1000*G158/G175)</f>
        <v>0</v>
      </c>
    </row>
    <row r="161" spans="1:7">
      <c r="A161" s="654" t="s">
        <v>66</v>
      </c>
      <c r="B161" s="488"/>
      <c r="C161" s="488" t="s">
        <v>65</v>
      </c>
      <c r="D161" s="265">
        <f>IF(D175=0,0,1000*(D159/D175))</f>
        <v>-345.17940717628704</v>
      </c>
      <c r="E161" s="265">
        <f>IF(E175=0,0,1000*(E159/E175))</f>
        <v>0</v>
      </c>
      <c r="F161" s="265">
        <f>IF(F175=0,0,1000*(F159/F175))</f>
        <v>-645.23725915295131</v>
      </c>
      <c r="G161" s="265">
        <f>IF(G175=0,0,1000*(G159/G175))</f>
        <v>0</v>
      </c>
    </row>
    <row r="162" spans="1:7">
      <c r="A162" s="656" t="s">
        <v>64</v>
      </c>
      <c r="B162" s="491"/>
      <c r="C162" s="491" t="s">
        <v>63</v>
      </c>
      <c r="D162" s="273">
        <f>IF((D22+D23+D65+D66)=0,0,D158/(D22+D23+D65+D66))</f>
        <v>0.81263650751780536</v>
      </c>
      <c r="E162" s="273">
        <f>IF((E22+E23+E65+E66)=0,0,E158/(E22+E23+E65+E66))</f>
        <v>0</v>
      </c>
      <c r="F162" s="273">
        <f>IF((F22+F23+F65+F66)=0,0,F158/(F22+F23+F65+F66))</f>
        <v>0.62122599851591109</v>
      </c>
      <c r="G162" s="273">
        <f>IF((G22+G23+G65+G66)=0,0,G158/(G22+G23+G65+G66))</f>
        <v>0</v>
      </c>
    </row>
    <row r="163" spans="1:7">
      <c r="A163" s="654" t="s">
        <v>62</v>
      </c>
      <c r="B163" s="488"/>
      <c r="C163" s="488" t="s">
        <v>61</v>
      </c>
      <c r="D163" s="268">
        <f>D145</f>
        <v>405713</v>
      </c>
      <c r="E163" s="268">
        <f>E145</f>
        <v>0</v>
      </c>
      <c r="F163" s="268">
        <f>F145</f>
        <v>506766</v>
      </c>
      <c r="G163" s="268">
        <f>G145</f>
        <v>0</v>
      </c>
    </row>
    <row r="164" spans="1:7" ht="25.5">
      <c r="A164" s="497" t="s">
        <v>60</v>
      </c>
      <c r="B164" s="496"/>
      <c r="C164" s="496" t="s">
        <v>59</v>
      </c>
      <c r="D164" s="274">
        <f>IF(D178=0,0,D146/D178)</f>
        <v>0.14159403748483371</v>
      </c>
      <c r="E164" s="274">
        <f>IF(E178=0,0,E146/E178)</f>
        <v>0</v>
      </c>
      <c r="F164" s="274">
        <f>IF(F178=0,0,F146/F178)</f>
        <v>0.11889236341548463</v>
      </c>
      <c r="G164" s="274">
        <f>IF(G178=0,0,G146/G178)</f>
        <v>0</v>
      </c>
    </row>
    <row r="165" spans="1:7">
      <c r="A165" s="652" t="s">
        <v>58</v>
      </c>
      <c r="B165" s="485"/>
      <c r="C165" s="485" t="s">
        <v>57</v>
      </c>
      <c r="D165" s="262">
        <f>IF(D177=0,0,D180/D177)</f>
        <v>2.781503306313993E-2</v>
      </c>
      <c r="E165" s="262">
        <f>IF(E177=0,0,E180/E177)</f>
        <v>3.4039302095392375E-2</v>
      </c>
      <c r="F165" s="262">
        <f>IF(F177=0,0,F180/F177)</f>
        <v>2.5360060551199333E-2</v>
      </c>
      <c r="G165" s="262">
        <f>IF(G177=0,0,G180/G177)</f>
        <v>2.1465953897037281E-2</v>
      </c>
    </row>
    <row r="166" spans="1:7">
      <c r="A166" s="654" t="s">
        <v>56</v>
      </c>
      <c r="B166" s="488"/>
      <c r="C166" s="488" t="s">
        <v>55</v>
      </c>
      <c r="D166" s="268">
        <f>D55</f>
        <v>59892</v>
      </c>
      <c r="E166" s="268">
        <f>E55</f>
        <v>60615</v>
      </c>
      <c r="F166" s="268">
        <f>F55</f>
        <v>172837</v>
      </c>
      <c r="G166" s="268">
        <f>G55</f>
        <v>55780</v>
      </c>
    </row>
    <row r="167" spans="1:7">
      <c r="A167" s="656" t="s">
        <v>54</v>
      </c>
      <c r="B167" s="491"/>
      <c r="C167" s="491" t="s">
        <v>53</v>
      </c>
      <c r="D167" s="273">
        <f>IF(0=D111,0,(D44+D45+D46+D47+D48)/D111)</f>
        <v>0.13979767436863583</v>
      </c>
      <c r="E167" s="273">
        <f>IF(0=E111,0,(E44+E45+E46+E47+E48)/E111)</f>
        <v>0</v>
      </c>
      <c r="F167" s="273">
        <f>IF(0=F111,0,(F44+F45+F46+F47+F48)/F111)</f>
        <v>0.28317699238127619</v>
      </c>
      <c r="G167" s="273">
        <f>IF(0=G111,0,(G44+G45+G46+G47+G48)/G111)</f>
        <v>0</v>
      </c>
    </row>
    <row r="168" spans="1:7">
      <c r="A168" s="654" t="s">
        <v>52</v>
      </c>
      <c r="B168" s="494"/>
      <c r="C168" s="494" t="s">
        <v>51</v>
      </c>
      <c r="D168" s="268">
        <f>D38-D44</f>
        <v>-3256</v>
      </c>
      <c r="E168" s="268">
        <f>E38-E44</f>
        <v>-2331</v>
      </c>
      <c r="F168" s="268">
        <f>F38-F44</f>
        <v>-3902</v>
      </c>
      <c r="G168" s="268">
        <f>G38-G44</f>
        <v>-2313</v>
      </c>
    </row>
    <row r="169" spans="1:7">
      <c r="A169" s="656" t="s">
        <v>50</v>
      </c>
      <c r="B169" s="491"/>
      <c r="C169" s="491" t="s">
        <v>49</v>
      </c>
      <c r="D169" s="269">
        <f>IF(D177=0,0,D168/D177)</f>
        <v>-2.1704351535836177E-3</v>
      </c>
      <c r="E169" s="269">
        <f>IF(E177=0,0,E168/E177)</f>
        <v>-1.5526605714803363E-3</v>
      </c>
      <c r="F169" s="269">
        <f>IF(F177=0,0,F168/F177)</f>
        <v>-2.2089639098774429E-3</v>
      </c>
      <c r="G169" s="269">
        <f>IF(G177=0,0,G168/G177)</f>
        <v>-1.5091872507932531E-3</v>
      </c>
    </row>
    <row r="170" spans="1:7">
      <c r="A170" s="654" t="s">
        <v>48</v>
      </c>
      <c r="B170" s="488"/>
      <c r="C170" s="488" t="s">
        <v>47</v>
      </c>
      <c r="D170" s="268">
        <f>SUM(D82:D87)+SUM(D89:D94)</f>
        <v>127593</v>
      </c>
      <c r="E170" s="268">
        <f>SUM(E82:E87)+SUM(E89:E94)</f>
        <v>119775</v>
      </c>
      <c r="F170" s="268">
        <f>SUM(F82:F87)+SUM(F89:F94)</f>
        <v>105876</v>
      </c>
      <c r="G170" s="268">
        <f>SUM(G82:G87)+SUM(G89:G94)</f>
        <v>99013</v>
      </c>
    </row>
    <row r="171" spans="1:7">
      <c r="A171" s="654" t="s">
        <v>46</v>
      </c>
      <c r="B171" s="488"/>
      <c r="C171" s="488" t="s">
        <v>45</v>
      </c>
      <c r="D171" s="265">
        <f>SUM(D96:D102)+SUM(D104:D105)</f>
        <v>45390</v>
      </c>
      <c r="E171" s="265">
        <f>SUM(E96:E102)+SUM(E104:E105)</f>
        <v>46495</v>
      </c>
      <c r="F171" s="265">
        <f>SUM(F96:F102)+SUM(F104:F105)</f>
        <v>33341</v>
      </c>
      <c r="G171" s="265">
        <f>SUM(G96:G102)+SUM(G104:G105)</f>
        <v>34029</v>
      </c>
    </row>
    <row r="172" spans="1:7">
      <c r="A172" s="652" t="s">
        <v>44</v>
      </c>
      <c r="B172" s="485"/>
      <c r="C172" s="485" t="s">
        <v>43</v>
      </c>
      <c r="D172" s="262">
        <f>IF(D184=0,0,D170/D184)</f>
        <v>8.0723284884051977E-2</v>
      </c>
      <c r="E172" s="262">
        <f>IF(E184=0,0,E170/E184)</f>
        <v>7.6216020158827127E-2</v>
      </c>
      <c r="F172" s="262">
        <f>IF(F184=0,0,F170/F184)</f>
        <v>6.7460188510818059E-2</v>
      </c>
      <c r="G172" s="262">
        <f>IF(G184=0,0,G170/G184)</f>
        <v>6.2412854099166679E-2</v>
      </c>
    </row>
    <row r="173" spans="1:7">
      <c r="A173" s="678"/>
    </row>
    <row r="174" spans="1:7">
      <c r="A174" s="479" t="s">
        <v>42</v>
      </c>
      <c r="B174" s="477"/>
      <c r="C174" s="649"/>
      <c r="D174" s="260"/>
      <c r="E174" s="260"/>
      <c r="F174" s="260"/>
      <c r="G174" s="260"/>
    </row>
    <row r="175" spans="1:7" s="480" customFormat="1">
      <c r="A175" s="478" t="s">
        <v>41</v>
      </c>
      <c r="B175" s="477"/>
      <c r="C175" s="477" t="s">
        <v>259</v>
      </c>
      <c r="D175" s="481">
        <v>256400</v>
      </c>
      <c r="E175" s="481">
        <v>256400</v>
      </c>
      <c r="F175" s="481">
        <v>261992</v>
      </c>
      <c r="G175" s="481">
        <v>261992</v>
      </c>
    </row>
    <row r="176" spans="1:7">
      <c r="A176" s="479" t="s">
        <v>39</v>
      </c>
      <c r="B176" s="477"/>
      <c r="C176" s="477"/>
      <c r="D176" s="477"/>
      <c r="E176" s="477"/>
      <c r="F176" s="477"/>
      <c r="G176" s="477"/>
    </row>
    <row r="177" spans="1:7">
      <c r="A177" s="478" t="s">
        <v>38</v>
      </c>
      <c r="B177" s="477"/>
      <c r="C177" s="477" t="s">
        <v>37</v>
      </c>
      <c r="D177" s="475">
        <f>SUM(D22:D32)+SUM(D44:D53)+SUM(D65:D72)+D75</f>
        <v>1500160</v>
      </c>
      <c r="E177" s="475">
        <f>SUM(E22:E32)+SUM(E44:E53)+SUM(E65:E72)+E75</f>
        <v>1501294</v>
      </c>
      <c r="F177" s="475">
        <f>SUM(F22:F32)+SUM(F44:F53)+SUM(F65:F72)+F75</f>
        <v>1766439</v>
      </c>
      <c r="G177" s="475">
        <f>SUM(G22:G32)+SUM(G44:G53)+SUM(G65:G72)+G75</f>
        <v>1532613</v>
      </c>
    </row>
    <row r="178" spans="1:7">
      <c r="A178" s="478" t="s">
        <v>36</v>
      </c>
      <c r="B178" s="477"/>
      <c r="C178" s="477" t="s">
        <v>35</v>
      </c>
      <c r="D178" s="475">
        <f>D78-D17-D20-D59-D63-D64</f>
        <v>1528885</v>
      </c>
      <c r="E178" s="475">
        <f>E78-E17-E20-E59-E63-E64</f>
        <v>1528888</v>
      </c>
      <c r="F178" s="475">
        <f>F78-F17-F20-F59-F63-F64</f>
        <v>1778020</v>
      </c>
      <c r="G178" s="475">
        <f>G78-G17-G20-G59-G63-G64</f>
        <v>1535765</v>
      </c>
    </row>
    <row r="179" spans="1:7">
      <c r="A179" s="478"/>
      <c r="B179" s="477"/>
      <c r="C179" s="477" t="s">
        <v>34</v>
      </c>
      <c r="D179" s="475">
        <f>D178+D170</f>
        <v>1656478</v>
      </c>
      <c r="E179" s="475">
        <f>E178+E170</f>
        <v>1648663</v>
      </c>
      <c r="F179" s="475">
        <f>F178+F170</f>
        <v>1883896</v>
      </c>
      <c r="G179" s="475">
        <f>G178+G170</f>
        <v>1634778</v>
      </c>
    </row>
    <row r="180" spans="1:7">
      <c r="A180" s="478" t="s">
        <v>33</v>
      </c>
      <c r="B180" s="477"/>
      <c r="C180" s="477" t="s">
        <v>32</v>
      </c>
      <c r="D180" s="475">
        <f>D38-D44+D8+D9+D10+D16-D33</f>
        <v>41727</v>
      </c>
      <c r="E180" s="475">
        <f>E38-E44+E8+E9+E10+E16-E33</f>
        <v>51103</v>
      </c>
      <c r="F180" s="475">
        <f>F38-F44+F8+F9+F10+F16-F33</f>
        <v>44797</v>
      </c>
      <c r="G180" s="475">
        <f>G38-G44+G8+G9+G10+G16-G33</f>
        <v>32899</v>
      </c>
    </row>
    <row r="181" spans="1:7" ht="27.6" customHeight="1">
      <c r="A181" s="474" t="s">
        <v>31</v>
      </c>
      <c r="B181" s="472"/>
      <c r="C181" s="472" t="s">
        <v>30</v>
      </c>
      <c r="D181" s="249">
        <f>D22+D23+D24+D25+D26+D29+SUM(D44:D47)+SUM(D49:D53)-D54+D32-D33+SUM(D65:D70)+D72</f>
        <v>1480054</v>
      </c>
      <c r="E181" s="249">
        <f>E22+E23+E24+E25+E26+E29+SUM(E44:E47)+SUM(E49:E53)-E54+E32-E33+SUM(E65:E70)+E72</f>
        <v>1479604</v>
      </c>
      <c r="F181" s="249">
        <f>F22+F23+F24+F25+F26+F29+SUM(F44:F47)+SUM(F49:F53)-F54+F32-F33+SUM(F65:F70)+F72</f>
        <v>1622799</v>
      </c>
      <c r="G181" s="249">
        <f>G22+G23+G24+G25+G26+G29+SUM(G44:G47)+SUM(G49:G53)-G54+G32-G33+SUM(G65:G70)+G72</f>
        <v>1518114</v>
      </c>
    </row>
    <row r="182" spans="1:7">
      <c r="A182" s="473" t="s">
        <v>29</v>
      </c>
      <c r="B182" s="472"/>
      <c r="C182" s="472" t="s">
        <v>28</v>
      </c>
      <c r="D182" s="249">
        <f>D181+D171</f>
        <v>1525444</v>
      </c>
      <c r="E182" s="249">
        <f>E181+E171</f>
        <v>1526099</v>
      </c>
      <c r="F182" s="249">
        <f>F181+F171</f>
        <v>1656140</v>
      </c>
      <c r="G182" s="249">
        <f>G181+G171</f>
        <v>1552143</v>
      </c>
    </row>
    <row r="183" spans="1:7">
      <c r="A183" s="473" t="s">
        <v>27</v>
      </c>
      <c r="B183" s="472"/>
      <c r="C183" s="472" t="s">
        <v>26</v>
      </c>
      <c r="D183" s="249">
        <f>D4+D5-D7+D38+D39+D40+D41+D43+D13-D16+D57+D58+D60+D62</f>
        <v>1453029</v>
      </c>
      <c r="E183" s="249">
        <f>E4+E5-E7+E38+E39+E40+E41+E43+E13-E16+E57+E58+E60+E62</f>
        <v>1451745</v>
      </c>
      <c r="F183" s="249">
        <f>F4+F5-F7+F38+F39+F40+F41+F43+F13-F16+F57+F58+F60+F62</f>
        <v>1463583</v>
      </c>
      <c r="G183" s="249">
        <f>G4+G5-G7+G38+G39+G40+G41+G43+G13-G16+G57+G58+G60+G62</f>
        <v>1487407</v>
      </c>
    </row>
    <row r="184" spans="1:7">
      <c r="A184" s="473" t="s">
        <v>25</v>
      </c>
      <c r="B184" s="472"/>
      <c r="C184" s="472" t="s">
        <v>24</v>
      </c>
      <c r="D184" s="249">
        <f>D183+D170</f>
        <v>1580622</v>
      </c>
      <c r="E184" s="249">
        <f>E183+E170</f>
        <v>1571520</v>
      </c>
      <c r="F184" s="249">
        <f>F183+F170</f>
        <v>1569459</v>
      </c>
      <c r="G184" s="249">
        <f>G183+G170</f>
        <v>1586420</v>
      </c>
    </row>
    <row r="185" spans="1:7">
      <c r="A185" s="473"/>
      <c r="B185" s="472"/>
      <c r="C185" s="472" t="s">
        <v>23</v>
      </c>
      <c r="D185" s="249">
        <f t="shared" ref="D185:G186" si="0">D181-D183</f>
        <v>27025</v>
      </c>
      <c r="E185" s="249">
        <f t="shared" si="0"/>
        <v>27859</v>
      </c>
      <c r="F185" s="249">
        <f t="shared" si="0"/>
        <v>159216</v>
      </c>
      <c r="G185" s="249">
        <f t="shared" si="0"/>
        <v>30707</v>
      </c>
    </row>
    <row r="186" spans="1:7">
      <c r="A186" s="473"/>
      <c r="B186" s="472"/>
      <c r="C186" s="472" t="s">
        <v>22</v>
      </c>
      <c r="D186" s="249">
        <f t="shared" si="0"/>
        <v>-55178</v>
      </c>
      <c r="E186" s="249">
        <f t="shared" si="0"/>
        <v>-45421</v>
      </c>
      <c r="F186" s="249">
        <f t="shared" si="0"/>
        <v>86681</v>
      </c>
      <c r="G186" s="249">
        <f t="shared" si="0"/>
        <v>-34277</v>
      </c>
    </row>
  </sheetData>
  <sheetProtection selectLockedCells="1" sort="0" autoFilter="0" pivotTables="0"/>
  <autoFilter ref="A1:AK1"/>
  <mergeCells count="2">
    <mergeCell ref="A3:C3"/>
    <mergeCell ref="A81:C81"/>
  </mergeCells>
  <pageMargins left="0.23622047244094491" right="0.23622047244094491" top="0.74803149606299213" bottom="0.74803149606299213" header="0.31496062992125984" footer="0.31496062992125984"/>
  <pageSetup paperSize="9" orientation="landscape" r:id="rId1"/>
  <headerFooter alignWithMargins="0">
    <oddHeader>&amp;LFachgruppe für kantonale Finanzfragen (FkF)
Groupe d'études pour les finances cantonales
&amp;CKanton VD&amp;RZürich, 11.05.2015</oddHeader>
    <oddFooter>&amp;L&amp;F / &amp;A</oddFooter>
  </headerFooter>
  <rowBreaks count="2" manualBreakCount="2">
    <brk id="79" max="16383" man="1"/>
    <brk id="147" max="16383" man="1"/>
  </rowBreaks>
  <legacy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4"/>
  <dimension ref="A1:I43"/>
  <sheetViews>
    <sheetView zoomScaleNormal="100" workbookViewId="0">
      <selection activeCell="G10" sqref="G10"/>
    </sheetView>
  </sheetViews>
  <sheetFormatPr baseColWidth="10" defaultRowHeight="12.75"/>
  <cols>
    <col min="1" max="1" width="10.42578125" customWidth="1"/>
    <col min="2" max="2" width="52.42578125" bestFit="1" customWidth="1"/>
    <col min="3" max="3" width="12.28515625" bestFit="1" customWidth="1"/>
    <col min="4" max="4" width="11.5703125" bestFit="1" customWidth="1"/>
    <col min="5" max="5" width="12.28515625" bestFit="1" customWidth="1"/>
    <col min="6" max="6" width="11.5703125" bestFit="1" customWidth="1"/>
    <col min="7" max="7" width="12.28515625" bestFit="1" customWidth="1"/>
    <col min="8" max="8" width="11.5703125" style="65" bestFit="1" customWidth="1"/>
    <col min="9" max="9" width="12.28515625" bestFit="1" customWidth="1"/>
  </cols>
  <sheetData>
    <row r="1" spans="1:9">
      <c r="A1" s="5" t="s">
        <v>528</v>
      </c>
      <c r="B1" s="6" t="s">
        <v>605</v>
      </c>
      <c r="C1" s="54" t="s">
        <v>255</v>
      </c>
      <c r="D1" s="7" t="s">
        <v>530</v>
      </c>
      <c r="E1" s="54" t="s">
        <v>254</v>
      </c>
      <c r="F1" s="7" t="s">
        <v>530</v>
      </c>
      <c r="G1" s="54" t="s">
        <v>255</v>
      </c>
      <c r="H1" s="7" t="s">
        <v>530</v>
      </c>
      <c r="I1" s="55" t="s">
        <v>254</v>
      </c>
    </row>
    <row r="2" spans="1:9">
      <c r="A2" s="112">
        <v>0</v>
      </c>
      <c r="B2" s="115">
        <v>0</v>
      </c>
      <c r="C2" s="62">
        <v>2013</v>
      </c>
      <c r="D2" s="3" t="s">
        <v>531</v>
      </c>
      <c r="E2" s="62">
        <v>2014</v>
      </c>
      <c r="F2" s="3" t="s">
        <v>531</v>
      </c>
      <c r="G2" s="63">
        <v>2014</v>
      </c>
      <c r="H2" s="3" t="s">
        <v>531</v>
      </c>
      <c r="I2" s="64">
        <v>2015</v>
      </c>
    </row>
    <row r="3" spans="1:9">
      <c r="A3" s="112">
        <v>0</v>
      </c>
      <c r="B3" s="2" t="s">
        <v>532</v>
      </c>
      <c r="C3" s="114">
        <v>0</v>
      </c>
      <c r="D3" s="113">
        <v>0</v>
      </c>
      <c r="E3" s="114" t="s">
        <v>606</v>
      </c>
      <c r="F3" s="115">
        <v>0</v>
      </c>
      <c r="G3" s="116" t="s">
        <v>606</v>
      </c>
      <c r="H3" s="113">
        <v>0</v>
      </c>
      <c r="I3" s="105" t="s">
        <v>606</v>
      </c>
    </row>
    <row r="4" spans="1:9">
      <c r="A4" s="5" t="s">
        <v>533</v>
      </c>
      <c r="B4" s="9" t="s">
        <v>250</v>
      </c>
      <c r="C4" s="10">
        <v>976544.1237700003</v>
      </c>
      <c r="D4" s="11">
        <v>2.2691730655704373E-2</v>
      </c>
      <c r="E4" s="10">
        <v>998703.6</v>
      </c>
      <c r="F4" s="11">
        <v>-8.25561398797337E-3</v>
      </c>
      <c r="G4" s="10">
        <v>990458.68859000062</v>
      </c>
      <c r="H4" s="241">
        <v>1.0089791250381119E-2</v>
      </c>
      <c r="I4" s="12">
        <v>1000452.21</v>
      </c>
    </row>
    <row r="5" spans="1:9">
      <c r="A5" s="13" t="s">
        <v>534</v>
      </c>
      <c r="B5" s="14" t="s">
        <v>535</v>
      </c>
      <c r="C5" s="15">
        <v>265162.47123000002</v>
      </c>
      <c r="D5" s="16">
        <v>-1.2514709244513086E-2</v>
      </c>
      <c r="E5" s="15">
        <v>261844.04</v>
      </c>
      <c r="F5" s="16">
        <v>7.1856733458588604E-2</v>
      </c>
      <c r="G5" s="15">
        <v>280659.29739000002</v>
      </c>
      <c r="H5" s="41">
        <v>-3.1220727307045035E-2</v>
      </c>
      <c r="I5" s="17">
        <v>271896.90999999997</v>
      </c>
    </row>
    <row r="6" spans="1:9">
      <c r="A6" s="13" t="s">
        <v>248</v>
      </c>
      <c r="B6" s="14" t="s">
        <v>536</v>
      </c>
      <c r="C6" s="15">
        <v>51400.724900000016</v>
      </c>
      <c r="D6" s="16">
        <v>-0.11870834335256651</v>
      </c>
      <c r="E6" s="15">
        <v>45299.03</v>
      </c>
      <c r="F6" s="16">
        <v>0.13803566411907736</v>
      </c>
      <c r="G6" s="15">
        <v>51551.911690000008</v>
      </c>
      <c r="H6" s="41">
        <v>-0.17185418347383127</v>
      </c>
      <c r="I6" s="17">
        <v>42692.5</v>
      </c>
    </row>
    <row r="7" spans="1:9">
      <c r="A7" s="13" t="s">
        <v>537</v>
      </c>
      <c r="B7" s="14" t="s">
        <v>538</v>
      </c>
      <c r="C7" s="15">
        <v>46436.28312</v>
      </c>
      <c r="D7" s="16">
        <v>-8.4207495890553957E-2</v>
      </c>
      <c r="E7" s="15">
        <v>42526</v>
      </c>
      <c r="F7" s="16">
        <v>-5.049278747119413E-2</v>
      </c>
      <c r="G7" s="15">
        <v>40378.743719999999</v>
      </c>
      <c r="H7" s="41">
        <v>6.9406884459653874E-3</v>
      </c>
      <c r="I7" s="17">
        <v>40659</v>
      </c>
    </row>
    <row r="8" spans="1:9">
      <c r="A8" s="13" t="s">
        <v>539</v>
      </c>
      <c r="B8" s="14" t="s">
        <v>540</v>
      </c>
      <c r="C8" s="15">
        <v>14115.988879999999</v>
      </c>
      <c r="D8" s="16">
        <v>0.22031833167610154</v>
      </c>
      <c r="E8" s="15">
        <v>17226</v>
      </c>
      <c r="F8" s="16">
        <v>-0.99800599907117149</v>
      </c>
      <c r="G8" s="15">
        <v>34.348660000000002</v>
      </c>
      <c r="H8" s="41">
        <v>-0.41773565548117458</v>
      </c>
      <c r="I8" s="17">
        <v>20</v>
      </c>
    </row>
    <row r="9" spans="1:9">
      <c r="A9" s="13" t="s">
        <v>541</v>
      </c>
      <c r="B9" s="14" t="s">
        <v>542</v>
      </c>
      <c r="C9" s="15">
        <v>180528.96265999999</v>
      </c>
      <c r="D9" s="16">
        <v>-2.0101830789526071E-2</v>
      </c>
      <c r="E9" s="15">
        <v>176900</v>
      </c>
      <c r="F9" s="16">
        <v>-6.1372419728660206E-2</v>
      </c>
      <c r="G9" s="15">
        <v>166043.21895000001</v>
      </c>
      <c r="H9" s="41">
        <v>8.2730153853115176E-2</v>
      </c>
      <c r="I9" s="17">
        <v>179780</v>
      </c>
    </row>
    <row r="10" spans="1:9">
      <c r="A10" s="13" t="s">
        <v>543</v>
      </c>
      <c r="B10" s="14" t="s">
        <v>544</v>
      </c>
      <c r="C10" s="15">
        <v>1798678.6998799995</v>
      </c>
      <c r="D10" s="16">
        <v>-2.4145457375403925E-2</v>
      </c>
      <c r="E10" s="15">
        <v>1755248.78</v>
      </c>
      <c r="F10" s="16">
        <v>5.1898784718141341E-2</v>
      </c>
      <c r="G10" s="15">
        <v>1846344.0585600003</v>
      </c>
      <c r="H10" s="41">
        <v>2.9636033515157618E-3</v>
      </c>
      <c r="I10" s="17">
        <v>1851815.89</v>
      </c>
    </row>
    <row r="11" spans="1:9">
      <c r="A11" s="13" t="s">
        <v>545</v>
      </c>
      <c r="B11" s="14" t="s">
        <v>546</v>
      </c>
      <c r="C11" s="15">
        <v>82805.285250000001</v>
      </c>
      <c r="D11" s="41">
        <v>4.211463965701398E-2</v>
      </c>
      <c r="E11" s="15">
        <v>86292.6</v>
      </c>
      <c r="F11" s="16">
        <v>4.7364217965387532</v>
      </c>
      <c r="G11" s="15">
        <v>495010.75152000005</v>
      </c>
      <c r="H11" s="41">
        <v>3.3622478762115313E-2</v>
      </c>
      <c r="I11" s="17">
        <v>511654.24</v>
      </c>
    </row>
    <row r="12" spans="1:9">
      <c r="A12" s="13" t="s">
        <v>547</v>
      </c>
      <c r="B12" s="14" t="s">
        <v>548</v>
      </c>
      <c r="C12" s="15">
        <v>394381.66814999998</v>
      </c>
      <c r="D12" s="41">
        <v>-1.0099273043505361E-2</v>
      </c>
      <c r="E12" s="15">
        <v>390398.7</v>
      </c>
      <c r="F12" s="16">
        <v>-0.92227266233212357</v>
      </c>
      <c r="G12" s="15">
        <v>30344.651580000005</v>
      </c>
      <c r="H12" s="41">
        <v>0.10905442137885957</v>
      </c>
      <c r="I12" s="17">
        <v>33653.870000000003</v>
      </c>
    </row>
    <row r="13" spans="1:9">
      <c r="A13" s="13" t="s">
        <v>549</v>
      </c>
      <c r="B13" s="14" t="s">
        <v>550</v>
      </c>
      <c r="C13" s="15">
        <v>245595.27431999994</v>
      </c>
      <c r="D13" s="41">
        <v>3.4938358255296842E-2</v>
      </c>
      <c r="E13" s="15">
        <v>254175.97</v>
      </c>
      <c r="F13" s="41">
        <v>-1</v>
      </c>
      <c r="G13" s="15">
        <v>0</v>
      </c>
      <c r="H13" s="41" t="s">
        <v>555</v>
      </c>
      <c r="I13" s="17">
        <v>0</v>
      </c>
    </row>
    <row r="14" spans="1:9">
      <c r="A14" s="13" t="s">
        <v>551</v>
      </c>
      <c r="B14" s="14" t="s">
        <v>552</v>
      </c>
      <c r="C14" s="15">
        <v>25409.634999999998</v>
      </c>
      <c r="D14" s="41">
        <v>-1.612124692070541E-2</v>
      </c>
      <c r="E14" s="15">
        <v>25000</v>
      </c>
      <c r="F14" s="16">
        <v>1.70298408</v>
      </c>
      <c r="G14" s="15">
        <v>67574.601999999999</v>
      </c>
      <c r="H14" s="41">
        <v>1.8503963959713755E-2</v>
      </c>
      <c r="I14" s="17">
        <v>68825</v>
      </c>
    </row>
    <row r="15" spans="1:9">
      <c r="A15" s="13" t="s">
        <v>553</v>
      </c>
      <c r="B15" s="14" t="s">
        <v>554</v>
      </c>
      <c r="C15" s="15">
        <v>0</v>
      </c>
      <c r="D15" s="41" t="s">
        <v>555</v>
      </c>
      <c r="E15" s="15">
        <v>0</v>
      </c>
      <c r="F15" s="16" t="s">
        <v>555</v>
      </c>
      <c r="G15" s="15">
        <v>44474.071499999998</v>
      </c>
      <c r="H15" s="41">
        <v>-3.0210220352773372E-2</v>
      </c>
      <c r="I15" s="17">
        <v>43130.5</v>
      </c>
    </row>
    <row r="16" spans="1:9">
      <c r="A16" s="13" t="s">
        <v>556</v>
      </c>
      <c r="B16" s="14" t="s">
        <v>557</v>
      </c>
      <c r="C16" s="15">
        <v>89031.84739000001</v>
      </c>
      <c r="D16" s="41">
        <v>-0.48083858355171444</v>
      </c>
      <c r="E16" s="15">
        <v>46221.9</v>
      </c>
      <c r="F16" s="41">
        <v>-1</v>
      </c>
      <c r="G16" s="15">
        <v>0</v>
      </c>
      <c r="H16" s="41" t="s">
        <v>555</v>
      </c>
      <c r="I16" s="17">
        <v>0</v>
      </c>
    </row>
    <row r="17" spans="1:9">
      <c r="A17" s="13" t="s">
        <v>558</v>
      </c>
      <c r="B17" s="14" t="s">
        <v>559</v>
      </c>
      <c r="C17" s="15">
        <v>15390.91741</v>
      </c>
      <c r="D17" s="16">
        <v>0.44550707455196464</v>
      </c>
      <c r="E17" s="15">
        <v>22247.68</v>
      </c>
      <c r="F17" s="16">
        <v>0.41040398729215793</v>
      </c>
      <c r="G17" s="15">
        <v>31378.216579999997</v>
      </c>
      <c r="H17" s="41">
        <v>-2.0066972206486257E-3</v>
      </c>
      <c r="I17" s="17">
        <v>31315.25</v>
      </c>
    </row>
    <row r="18" spans="1:9">
      <c r="A18" s="13">
        <v>389</v>
      </c>
      <c r="B18" s="14" t="s">
        <v>182</v>
      </c>
      <c r="C18" s="15">
        <v>0</v>
      </c>
      <c r="D18" s="41" t="s">
        <v>555</v>
      </c>
      <c r="E18" s="15">
        <v>0</v>
      </c>
      <c r="F18" s="41" t="s">
        <v>555</v>
      </c>
      <c r="G18" s="15">
        <v>1133.694</v>
      </c>
      <c r="H18" s="41">
        <v>-1</v>
      </c>
      <c r="I18" s="17">
        <v>0</v>
      </c>
    </row>
    <row r="19" spans="1:9">
      <c r="A19" s="18" t="s">
        <v>560</v>
      </c>
      <c r="B19" s="19" t="s">
        <v>561</v>
      </c>
      <c r="C19" s="20">
        <v>196984.56748999999</v>
      </c>
      <c r="D19" s="41">
        <v>-4.7042644091752784E-3</v>
      </c>
      <c r="E19" s="20">
        <v>196057.9</v>
      </c>
      <c r="F19" s="41">
        <v>-7.0634624261501824E-3</v>
      </c>
      <c r="G19" s="20">
        <v>194673.05239000008</v>
      </c>
      <c r="H19" s="41">
        <v>-1.2266733174841627E-2</v>
      </c>
      <c r="I19" s="21">
        <v>192285.05</v>
      </c>
    </row>
    <row r="20" spans="1:9">
      <c r="A20" s="22" t="s">
        <v>562</v>
      </c>
      <c r="B20" s="23" t="s">
        <v>563</v>
      </c>
      <c r="C20" s="24">
        <v>3493842.0144400001</v>
      </c>
      <c r="D20" s="25">
        <v>-6.6082021867551969E-3</v>
      </c>
      <c r="E20" s="24">
        <v>3470754.0000000005</v>
      </c>
      <c r="F20" s="25">
        <v>2.3150392923266906E-2</v>
      </c>
      <c r="G20" s="24">
        <v>3551103.3188400008</v>
      </c>
      <c r="H20" s="242">
        <v>4.8213159750001306E-3</v>
      </c>
      <c r="I20" s="26">
        <v>3568224.31</v>
      </c>
    </row>
    <row r="21" spans="1:9">
      <c r="A21" s="27" t="s">
        <v>564</v>
      </c>
      <c r="B21" s="28" t="s">
        <v>565</v>
      </c>
      <c r="C21" s="10">
        <v>1571963.6731400001</v>
      </c>
      <c r="D21" s="16">
        <v>6.8107978847971769E-3</v>
      </c>
      <c r="E21" s="10">
        <v>1582670</v>
      </c>
      <c r="F21" s="16">
        <v>-0.13051086597964207</v>
      </c>
      <c r="G21" s="10">
        <v>1376114.3677399999</v>
      </c>
      <c r="H21" s="41">
        <v>2.1464518467683696E-2</v>
      </c>
      <c r="I21" s="12">
        <v>1405652</v>
      </c>
    </row>
    <row r="22" spans="1:9">
      <c r="A22" s="8" t="s">
        <v>566</v>
      </c>
      <c r="B22" s="29" t="s">
        <v>567</v>
      </c>
      <c r="C22" s="15">
        <v>173963.96104999998</v>
      </c>
      <c r="D22" s="16">
        <v>2.6281529360474499E-2</v>
      </c>
      <c r="E22" s="15">
        <v>178536</v>
      </c>
      <c r="F22" s="16">
        <v>1.5064759823789038</v>
      </c>
      <c r="G22" s="15">
        <v>447496.19598999998</v>
      </c>
      <c r="H22" s="41">
        <v>-4.8186322438552844E-2</v>
      </c>
      <c r="I22" s="17">
        <v>425933</v>
      </c>
    </row>
    <row r="23" spans="1:9">
      <c r="A23" s="8" t="s">
        <v>568</v>
      </c>
      <c r="B23" s="29" t="s">
        <v>569</v>
      </c>
      <c r="C23" s="15">
        <v>62814.134050000001</v>
      </c>
      <c r="D23" s="16">
        <v>7.103044589372963E-2</v>
      </c>
      <c r="E23" s="15">
        <v>67275.850000000006</v>
      </c>
      <c r="F23" s="16">
        <v>-3.8480052648907491E-2</v>
      </c>
      <c r="G23" s="15">
        <v>64687.071750000003</v>
      </c>
      <c r="H23" s="41">
        <v>-7.6578852867922542E-2</v>
      </c>
      <c r="I23" s="17">
        <v>59733.41</v>
      </c>
    </row>
    <row r="24" spans="1:9">
      <c r="A24" s="8" t="s">
        <v>570</v>
      </c>
      <c r="B24" s="29" t="s">
        <v>571</v>
      </c>
      <c r="C24" s="15">
        <v>371500.32099000004</v>
      </c>
      <c r="D24" s="16">
        <v>1.7539739919027918E-2</v>
      </c>
      <c r="E24" s="15">
        <v>378016.34</v>
      </c>
      <c r="F24" s="16">
        <v>-1.590699732715287E-2</v>
      </c>
      <c r="G24" s="15">
        <v>372003.23508999991</v>
      </c>
      <c r="H24" s="41">
        <v>1.3427020087047522E-2</v>
      </c>
      <c r="I24" s="17">
        <v>376998.13</v>
      </c>
    </row>
    <row r="25" spans="1:9">
      <c r="A25" s="8" t="s">
        <v>572</v>
      </c>
      <c r="B25" s="29" t="s">
        <v>573</v>
      </c>
      <c r="C25" s="15">
        <v>935413.97177000006</v>
      </c>
      <c r="D25" s="16">
        <v>-2.493238552538362E-2</v>
      </c>
      <c r="E25" s="15">
        <v>912091.87000000011</v>
      </c>
      <c r="F25" s="16">
        <v>4.7127180642449931E-2</v>
      </c>
      <c r="G25" s="15">
        <v>955076.18832000007</v>
      </c>
      <c r="H25" s="41">
        <v>2.5869749431677407E-2</v>
      </c>
      <c r="I25" s="17">
        <v>979783.77</v>
      </c>
    </row>
    <row r="26" spans="1:9">
      <c r="A26" s="56" t="s">
        <v>574</v>
      </c>
      <c r="B26" s="29" t="s">
        <v>575</v>
      </c>
      <c r="C26" s="15">
        <v>3606.5244499999999</v>
      </c>
      <c r="D26" s="16">
        <v>1.2395079007436094</v>
      </c>
      <c r="E26" s="15">
        <v>8076.84</v>
      </c>
      <c r="F26" s="16">
        <v>0.23277787723911803</v>
      </c>
      <c r="G26" s="15">
        <v>9956.9496699999982</v>
      </c>
      <c r="H26" s="41">
        <v>-0.25556920084341439</v>
      </c>
      <c r="I26" s="17">
        <v>7412.26</v>
      </c>
    </row>
    <row r="27" spans="1:9">
      <c r="A27" s="150">
        <v>489</v>
      </c>
      <c r="B27" s="29" t="s">
        <v>170</v>
      </c>
      <c r="C27" s="15">
        <v>0</v>
      </c>
      <c r="D27" s="16" t="s">
        <v>555</v>
      </c>
      <c r="E27" s="15">
        <v>0</v>
      </c>
      <c r="F27" s="16" t="s">
        <v>555</v>
      </c>
      <c r="G27" s="15">
        <v>3077.1876899999997</v>
      </c>
      <c r="H27" s="41">
        <v>-1</v>
      </c>
      <c r="I27" s="17">
        <v>0</v>
      </c>
    </row>
    <row r="28" spans="1:9">
      <c r="A28" s="30" t="s">
        <v>576</v>
      </c>
      <c r="B28" s="31" t="s">
        <v>577</v>
      </c>
      <c r="C28" s="20">
        <v>196984.56748999999</v>
      </c>
      <c r="D28" s="16">
        <v>-4.7042644091752784E-3</v>
      </c>
      <c r="E28" s="20">
        <v>196057.9</v>
      </c>
      <c r="F28" s="16">
        <v>-7.0634624261506273E-3</v>
      </c>
      <c r="G28" s="20">
        <v>194673.05239</v>
      </c>
      <c r="H28" s="41">
        <v>-1.2266733174841183E-2</v>
      </c>
      <c r="I28" s="21">
        <v>192285.05</v>
      </c>
    </row>
    <row r="29" spans="1:9">
      <c r="A29" s="48" t="s">
        <v>578</v>
      </c>
      <c r="B29" s="49" t="s">
        <v>579</v>
      </c>
      <c r="C29" s="24">
        <v>3316247.1529399999</v>
      </c>
      <c r="D29" s="50">
        <v>1.9533064820748207E-3</v>
      </c>
      <c r="E29" s="24">
        <v>3322724.8</v>
      </c>
      <c r="F29" s="50">
        <v>3.0203960508556133E-2</v>
      </c>
      <c r="G29" s="24">
        <v>3423084.2486399999</v>
      </c>
      <c r="H29" s="243">
        <v>7.2196211267129759E-3</v>
      </c>
      <c r="I29" s="26">
        <v>3447797.6199999996</v>
      </c>
    </row>
    <row r="30" spans="1:9">
      <c r="A30" s="47" t="s">
        <v>580</v>
      </c>
      <c r="B30" s="32" t="s">
        <v>581</v>
      </c>
      <c r="C30" s="33">
        <v>-177594.86150000012</v>
      </c>
      <c r="D30" s="117">
        <v>0</v>
      </c>
      <c r="E30" s="33">
        <v>-148029.20000000065</v>
      </c>
      <c r="F30" s="117">
        <v>0</v>
      </c>
      <c r="G30" s="34">
        <v>-128019.07020000089</v>
      </c>
      <c r="H30" s="244">
        <v>0</v>
      </c>
      <c r="I30" s="35">
        <v>-120426.69000000041</v>
      </c>
    </row>
    <row r="31" spans="1:9">
      <c r="A31" s="120">
        <v>0</v>
      </c>
      <c r="B31" s="28" t="s">
        <v>582</v>
      </c>
      <c r="C31" s="118">
        <v>0</v>
      </c>
      <c r="D31" s="123">
        <v>0</v>
      </c>
      <c r="E31" s="118">
        <v>0</v>
      </c>
      <c r="F31" s="123">
        <v>0</v>
      </c>
      <c r="G31" s="118">
        <v>0</v>
      </c>
      <c r="H31" s="245">
        <v>0</v>
      </c>
      <c r="I31" s="119">
        <v>0</v>
      </c>
    </row>
    <row r="32" spans="1:9">
      <c r="A32" s="56" t="s">
        <v>583</v>
      </c>
      <c r="B32" s="29" t="s">
        <v>584</v>
      </c>
      <c r="C32" s="15">
        <v>165350.63006999998</v>
      </c>
      <c r="D32" s="16">
        <v>9.1952295092938896E-2</v>
      </c>
      <c r="E32" s="15">
        <v>180555</v>
      </c>
      <c r="F32" s="16">
        <v>-0.17244959702029836</v>
      </c>
      <c r="G32" s="15">
        <v>149418.36301000003</v>
      </c>
      <c r="H32" s="41">
        <v>0.16507768183987659</v>
      </c>
      <c r="I32" s="17">
        <v>174084</v>
      </c>
    </row>
    <row r="33" spans="1:9">
      <c r="A33" s="56" t="s">
        <v>585</v>
      </c>
      <c r="B33" s="29" t="s">
        <v>586</v>
      </c>
      <c r="C33" s="15">
        <v>95587.038</v>
      </c>
      <c r="D33" s="16">
        <v>-0.90492434758779738</v>
      </c>
      <c r="E33" s="15">
        <v>9088</v>
      </c>
      <c r="F33" s="16">
        <v>3.8137176496478871</v>
      </c>
      <c r="G33" s="15">
        <v>43747.065999999999</v>
      </c>
      <c r="H33" s="41">
        <v>-0.84357808132778545</v>
      </c>
      <c r="I33" s="17">
        <v>6843</v>
      </c>
    </row>
    <row r="34" spans="1:9">
      <c r="A34" s="8" t="s">
        <v>587</v>
      </c>
      <c r="B34" s="29" t="s">
        <v>588</v>
      </c>
      <c r="C34" s="15">
        <v>117521.98445</v>
      </c>
      <c r="D34" s="16">
        <v>0.28367216317882732</v>
      </c>
      <c r="E34" s="15">
        <v>150859.70000000001</v>
      </c>
      <c r="F34" s="16">
        <v>-0.11449351748677762</v>
      </c>
      <c r="G34" s="15">
        <v>133587.24229999998</v>
      </c>
      <c r="H34" s="41">
        <v>0.16198221721955569</v>
      </c>
      <c r="I34" s="17">
        <v>155226</v>
      </c>
    </row>
    <row r="35" spans="1:9">
      <c r="A35" s="48" t="s">
        <v>589</v>
      </c>
      <c r="B35" s="49" t="s">
        <v>590</v>
      </c>
      <c r="C35" s="24">
        <v>378459.65252</v>
      </c>
      <c r="D35" s="51">
        <v>-0.10029326050283294</v>
      </c>
      <c r="E35" s="24">
        <v>340502.7</v>
      </c>
      <c r="F35" s="51">
        <v>-4.0381555535389309E-2</v>
      </c>
      <c r="G35" s="24">
        <v>326752.67131000001</v>
      </c>
      <c r="H35" s="243">
        <v>2.8768942124673933E-2</v>
      </c>
      <c r="I35" s="26">
        <v>336153</v>
      </c>
    </row>
    <row r="36" spans="1:9">
      <c r="A36" s="8" t="s">
        <v>591</v>
      </c>
      <c r="B36" s="29" t="s">
        <v>592</v>
      </c>
      <c r="C36" s="15">
        <v>1672.3914499999998</v>
      </c>
      <c r="D36" s="16">
        <v>-0.70102693361652857</v>
      </c>
      <c r="E36" s="15">
        <v>500</v>
      </c>
      <c r="F36" s="16">
        <v>-0.36623509999999998</v>
      </c>
      <c r="G36" s="15">
        <v>316.88245000000001</v>
      </c>
      <c r="H36" s="41">
        <v>0.57787217310393801</v>
      </c>
      <c r="I36" s="17">
        <v>500</v>
      </c>
    </row>
    <row r="37" spans="1:9">
      <c r="A37" s="8" t="s">
        <v>593</v>
      </c>
      <c r="B37" s="29" t="s">
        <v>594</v>
      </c>
      <c r="C37" s="15">
        <v>94969.995510000008</v>
      </c>
      <c r="D37" s="16">
        <v>0.41588297733299517</v>
      </c>
      <c r="E37" s="15">
        <v>134466.4</v>
      </c>
      <c r="F37" s="16">
        <v>-0.1227920495380259</v>
      </c>
      <c r="G37" s="15">
        <v>117954.99514999999</v>
      </c>
      <c r="H37" s="41">
        <v>6.0014031970396162E-2</v>
      </c>
      <c r="I37" s="17">
        <v>125033.95000000001</v>
      </c>
    </row>
    <row r="38" spans="1:9">
      <c r="A38" s="48" t="s">
        <v>595</v>
      </c>
      <c r="B38" s="49" t="s">
        <v>596</v>
      </c>
      <c r="C38" s="24">
        <v>96642.386960000003</v>
      </c>
      <c r="D38" s="51">
        <v>0.3965549097608918</v>
      </c>
      <c r="E38" s="24">
        <v>134966.39999999999</v>
      </c>
      <c r="F38" s="51">
        <v>-0.12369391492993814</v>
      </c>
      <c r="G38" s="24">
        <v>118271.87759999999</v>
      </c>
      <c r="H38" s="243">
        <v>6.1401514437444085E-2</v>
      </c>
      <c r="I38" s="26">
        <v>125533.95000000001</v>
      </c>
    </row>
    <row r="39" spans="1:9">
      <c r="A39" s="36" t="s">
        <v>597</v>
      </c>
      <c r="B39" s="37" t="s">
        <v>3</v>
      </c>
      <c r="C39" s="38">
        <v>281817.26555999997</v>
      </c>
      <c r="D39" s="39">
        <v>-0.27067527395250895</v>
      </c>
      <c r="E39" s="38">
        <v>205536.30000000002</v>
      </c>
      <c r="F39" s="39">
        <v>1.4325905983517172E-2</v>
      </c>
      <c r="G39" s="38">
        <v>208480.79371</v>
      </c>
      <c r="H39" s="246">
        <v>1.0256370632271947E-2</v>
      </c>
      <c r="I39" s="40">
        <v>210619.05</v>
      </c>
    </row>
    <row r="40" spans="1:9">
      <c r="A40" s="112" t="s">
        <v>0</v>
      </c>
      <c r="B40" s="29" t="s">
        <v>85</v>
      </c>
      <c r="C40" s="15">
        <v>2934.1011599998747</v>
      </c>
      <c r="D40" s="16">
        <v>8.8397425397563936</v>
      </c>
      <c r="E40" s="15">
        <v>28870.799999999348</v>
      </c>
      <c r="F40" s="16">
        <v>0.24972827424248512</v>
      </c>
      <c r="G40" s="15">
        <v>36080.655059999124</v>
      </c>
      <c r="H40" s="41">
        <v>0.64501752812691393</v>
      </c>
      <c r="I40" s="17">
        <v>59353.30999999959</v>
      </c>
    </row>
    <row r="41" spans="1:9">
      <c r="A41" s="112" t="s">
        <v>0</v>
      </c>
      <c r="B41" s="29" t="s">
        <v>598</v>
      </c>
      <c r="C41" s="15">
        <v>-278883.16440000013</v>
      </c>
      <c r="D41" s="16">
        <v>-0.36652504506650457</v>
      </c>
      <c r="E41" s="15">
        <v>-176665.50000000067</v>
      </c>
      <c r="F41" s="16">
        <v>-2.4143714250941875E-2</v>
      </c>
      <c r="G41" s="15">
        <v>-172400.13865000088</v>
      </c>
      <c r="H41" s="41">
        <v>-0.12258922072508655</v>
      </c>
      <c r="I41" s="17">
        <v>-151265.7400000004</v>
      </c>
    </row>
    <row r="42" spans="1:9">
      <c r="A42" s="121" t="s">
        <v>0</v>
      </c>
      <c r="B42" s="31" t="s">
        <v>599</v>
      </c>
      <c r="C42" s="20">
        <v>3465281.2305199997</v>
      </c>
      <c r="D42" s="111">
        <v>-1.9177696151959009E-2</v>
      </c>
      <c r="E42" s="20">
        <v>3398825.1200000006</v>
      </c>
      <c r="F42" s="111">
        <v>2.5234702152019017E-2</v>
      </c>
      <c r="G42" s="20">
        <v>3484593.4595700009</v>
      </c>
      <c r="H42" s="247">
        <v>4.7017107218071553E-3</v>
      </c>
      <c r="I42" s="21">
        <v>3500977.0100000002</v>
      </c>
    </row>
    <row r="43" spans="1:9">
      <c r="A43" s="121">
        <v>0</v>
      </c>
      <c r="B43" s="31" t="s">
        <v>5</v>
      </c>
      <c r="C43" s="60">
        <v>1.0411360546592179E-2</v>
      </c>
      <c r="D43" s="122">
        <v>0</v>
      </c>
      <c r="E43" s="60">
        <v>0.14046569875977793</v>
      </c>
      <c r="F43" s="167">
        <v>0</v>
      </c>
      <c r="G43" s="60">
        <v>0.17306464743312458</v>
      </c>
      <c r="H43" s="167">
        <v>0</v>
      </c>
      <c r="I43" s="168">
        <v>0.28180409132032264</v>
      </c>
    </row>
  </sheetData>
  <phoneticPr fontId="7" type="noConversion"/>
  <pageMargins left="0.23622047244094491" right="0.23622047244094491" top="0.74803149606299213" bottom="0.74803149606299213" header="0.31496062992125984" footer="0.31496062992125984"/>
  <pageSetup paperSize="9" orientation="landscape" r:id="rId1"/>
  <headerFooter alignWithMargins="0">
    <oddHeader>&amp;LFachgruppe für kantonale Finanzfragen (FkF)
Groupe d'études pour les finances cantonales
&amp;CKanton VD&amp;RZürich, 11.05.2015</oddHeader>
    <oddFooter>&amp;L&amp;F / &amp;A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52">
    <tabColor rgb="FF00B050"/>
  </sheetPr>
  <dimension ref="A1:AM186"/>
  <sheetViews>
    <sheetView zoomScale="115" zoomScaleNormal="115" workbookViewId="0">
      <selection activeCell="G10" sqref="G10"/>
    </sheetView>
  </sheetViews>
  <sheetFormatPr baseColWidth="10" defaultColWidth="11.42578125" defaultRowHeight="12.75"/>
  <cols>
    <col min="1" max="1" width="16.28515625" style="678" customWidth="1"/>
    <col min="2" max="2" width="3.7109375" style="470" customWidth="1"/>
    <col min="3" max="3" width="44.7109375" style="470" customWidth="1"/>
    <col min="4" max="16384" width="11.42578125" style="470"/>
  </cols>
  <sheetData>
    <row r="1" spans="1:39" s="642" customFormat="1" ht="18" customHeight="1">
      <c r="A1" s="787" t="s">
        <v>490</v>
      </c>
      <c r="B1" s="671" t="s">
        <v>520</v>
      </c>
      <c r="C1" s="671" t="s">
        <v>519</v>
      </c>
      <c r="D1" s="643" t="s">
        <v>487</v>
      </c>
      <c r="E1" s="644" t="s">
        <v>254</v>
      </c>
      <c r="F1" s="643" t="s">
        <v>487</v>
      </c>
      <c r="G1" s="644" t="s">
        <v>254</v>
      </c>
      <c r="H1" s="608"/>
      <c r="I1" s="608"/>
      <c r="J1" s="608"/>
      <c r="K1" s="608"/>
      <c r="L1" s="608"/>
      <c r="M1" s="608"/>
      <c r="N1" s="608"/>
      <c r="O1" s="608"/>
      <c r="P1" s="608"/>
      <c r="Q1" s="608"/>
      <c r="R1" s="608"/>
      <c r="S1" s="608"/>
      <c r="T1" s="608"/>
      <c r="U1" s="608"/>
      <c r="V1" s="608"/>
      <c r="W1" s="608"/>
      <c r="X1" s="608"/>
      <c r="Y1" s="608"/>
      <c r="Z1" s="608"/>
      <c r="AA1" s="608"/>
      <c r="AB1" s="608"/>
      <c r="AC1" s="608"/>
      <c r="AD1" s="608"/>
      <c r="AE1" s="608"/>
      <c r="AF1" s="608"/>
      <c r="AG1" s="608"/>
      <c r="AH1" s="608"/>
      <c r="AI1" s="608"/>
      <c r="AJ1" s="608"/>
      <c r="AK1" s="608"/>
      <c r="AL1" s="608"/>
      <c r="AM1" s="608"/>
    </row>
    <row r="2" spans="1:39" s="636" customFormat="1" ht="15" customHeight="1">
      <c r="A2" s="786"/>
      <c r="B2" s="640"/>
      <c r="C2" s="639" t="s">
        <v>486</v>
      </c>
      <c r="D2" s="637">
        <v>2013</v>
      </c>
      <c r="E2" s="638">
        <v>2014</v>
      </c>
      <c r="F2" s="637">
        <v>2014</v>
      </c>
      <c r="G2" s="638">
        <v>2015</v>
      </c>
    </row>
    <row r="3" spans="1:39" ht="15" customHeight="1">
      <c r="A3" s="949" t="s">
        <v>485</v>
      </c>
      <c r="B3" s="950"/>
      <c r="C3" s="950"/>
      <c r="D3" s="512"/>
      <c r="E3" s="635" t="s">
        <v>251</v>
      </c>
      <c r="F3" s="512"/>
      <c r="G3" s="635"/>
    </row>
    <row r="4" spans="1:39" s="480" customFormat="1" ht="12.75" customHeight="1">
      <c r="A4" s="785">
        <v>30</v>
      </c>
      <c r="B4" s="669"/>
      <c r="C4" s="632" t="s">
        <v>484</v>
      </c>
      <c r="D4" s="411"/>
      <c r="E4" s="795">
        <v>998703.6</v>
      </c>
      <c r="F4" s="411">
        <v>990458.68859000062</v>
      </c>
      <c r="G4" s="453">
        <v>1000452.21</v>
      </c>
    </row>
    <row r="5" spans="1:39" s="480" customFormat="1" ht="12.75" customHeight="1">
      <c r="A5" s="593">
        <v>31</v>
      </c>
      <c r="B5" s="587"/>
      <c r="C5" s="585" t="s">
        <v>483</v>
      </c>
      <c r="D5" s="317"/>
      <c r="E5" s="361">
        <v>269455.44</v>
      </c>
      <c r="F5" s="317">
        <v>278511.61605000001</v>
      </c>
      <c r="G5" s="361">
        <v>269481.90999999997</v>
      </c>
    </row>
    <row r="6" spans="1:39" s="480" customFormat="1" ht="12.75" customHeight="1">
      <c r="A6" s="630" t="s">
        <v>482</v>
      </c>
      <c r="B6" s="586"/>
      <c r="C6" s="616" t="s">
        <v>481</v>
      </c>
      <c r="D6" s="322"/>
      <c r="E6" s="321">
        <v>43145.38</v>
      </c>
      <c r="F6" s="322">
        <v>51551.911690000008</v>
      </c>
      <c r="G6" s="361">
        <v>42692.5</v>
      </c>
    </row>
    <row r="7" spans="1:39" s="480" customFormat="1" ht="12.75" customHeight="1">
      <c r="A7" s="630" t="s">
        <v>480</v>
      </c>
      <c r="B7" s="586"/>
      <c r="C7" s="616" t="s">
        <v>479</v>
      </c>
      <c r="D7" s="322"/>
      <c r="E7" s="321">
        <v>0</v>
      </c>
      <c r="F7" s="322">
        <v>0</v>
      </c>
      <c r="G7" s="361">
        <v>0</v>
      </c>
    </row>
    <row r="8" spans="1:39" s="480" customFormat="1" ht="12.75" customHeight="1">
      <c r="A8" s="593">
        <v>330</v>
      </c>
      <c r="B8" s="587"/>
      <c r="C8" s="585" t="s">
        <v>478</v>
      </c>
      <c r="D8" s="317"/>
      <c r="E8" s="316">
        <v>100400</v>
      </c>
      <c r="F8" s="317">
        <v>93689.757060000004</v>
      </c>
      <c r="G8" s="361">
        <v>102900</v>
      </c>
    </row>
    <row r="9" spans="1:39" s="480" customFormat="1" ht="12.75" customHeight="1">
      <c r="A9" s="593">
        <v>332</v>
      </c>
      <c r="B9" s="587"/>
      <c r="C9" s="585" t="s">
        <v>477</v>
      </c>
      <c r="D9" s="317"/>
      <c r="E9" s="316">
        <v>0</v>
      </c>
      <c r="F9" s="317">
        <v>0</v>
      </c>
      <c r="G9" s="361">
        <v>0</v>
      </c>
    </row>
    <row r="10" spans="1:39" s="480" customFormat="1" ht="12.75" customHeight="1">
      <c r="A10" s="593">
        <v>339</v>
      </c>
      <c r="B10" s="587"/>
      <c r="C10" s="585" t="s">
        <v>476</v>
      </c>
      <c r="D10" s="317"/>
      <c r="E10" s="316">
        <v>0</v>
      </c>
      <c r="F10" s="317">
        <v>0</v>
      </c>
      <c r="G10" s="361">
        <v>0</v>
      </c>
    </row>
    <row r="11" spans="1:39" s="771" customFormat="1" ht="28.15" customHeight="1">
      <c r="A11" s="597">
        <v>350</v>
      </c>
      <c r="B11" s="776"/>
      <c r="C11" s="589" t="s">
        <v>475</v>
      </c>
      <c r="D11" s="311"/>
      <c r="E11" s="310">
        <v>23256.68</v>
      </c>
      <c r="F11" s="311">
        <v>31378.216579999997</v>
      </c>
      <c r="G11" s="361">
        <v>31315.25</v>
      </c>
    </row>
    <row r="12" spans="1:39" s="579" customFormat="1" ht="25.5">
      <c r="A12" s="597">
        <v>351</v>
      </c>
      <c r="B12" s="596"/>
      <c r="C12" s="589" t="s">
        <v>474</v>
      </c>
      <c r="D12" s="450"/>
      <c r="E12" s="400">
        <v>0</v>
      </c>
      <c r="F12" s="450">
        <v>0</v>
      </c>
      <c r="G12" s="361">
        <v>0</v>
      </c>
    </row>
    <row r="13" spans="1:39" s="480" customFormat="1" ht="12.75" customHeight="1">
      <c r="A13" s="593">
        <v>36</v>
      </c>
      <c r="B13" s="587"/>
      <c r="C13" s="585" t="s">
        <v>473</v>
      </c>
      <c r="D13" s="322"/>
      <c r="E13" s="316">
        <v>1760153.48</v>
      </c>
      <c r="F13" s="322">
        <v>1799459.1465000003</v>
      </c>
      <c r="G13" s="361">
        <v>1809574.67</v>
      </c>
    </row>
    <row r="14" spans="1:39" s="480" customFormat="1" ht="12.75" customHeight="1">
      <c r="A14" s="629" t="s">
        <v>472</v>
      </c>
      <c r="B14" s="587"/>
      <c r="C14" s="627" t="s">
        <v>471</v>
      </c>
      <c r="D14" s="322"/>
      <c r="E14" s="316">
        <v>488459.3</v>
      </c>
      <c r="F14" s="322">
        <v>495010.75152000005</v>
      </c>
      <c r="G14" s="361">
        <v>511654.24</v>
      </c>
    </row>
    <row r="15" spans="1:39" s="480" customFormat="1" ht="12.75" customHeight="1">
      <c r="A15" s="629" t="s">
        <v>470</v>
      </c>
      <c r="B15" s="587"/>
      <c r="C15" s="627" t="s">
        <v>469</v>
      </c>
      <c r="D15" s="322"/>
      <c r="E15" s="316">
        <v>35281.61</v>
      </c>
      <c r="F15" s="322">
        <v>30344.651580000005</v>
      </c>
      <c r="G15" s="361">
        <v>33653.870000000003</v>
      </c>
    </row>
    <row r="16" spans="1:39" s="626" customFormat="1" ht="26.25" customHeight="1">
      <c r="A16" s="629" t="s">
        <v>468</v>
      </c>
      <c r="B16" s="668"/>
      <c r="C16" s="627" t="s">
        <v>467</v>
      </c>
      <c r="D16" s="442"/>
      <c r="E16" s="443">
        <v>76500</v>
      </c>
      <c r="F16" s="442">
        <v>72353.461890000006</v>
      </c>
      <c r="G16" s="361">
        <v>76880</v>
      </c>
    </row>
    <row r="17" spans="1:7" s="622" customFormat="1">
      <c r="A17" s="593">
        <v>37</v>
      </c>
      <c r="B17" s="587"/>
      <c r="C17" s="585" t="s">
        <v>448</v>
      </c>
      <c r="D17" s="431"/>
      <c r="E17" s="430">
        <v>74797.3</v>
      </c>
      <c r="F17" s="431">
        <v>119238.37395000001</v>
      </c>
      <c r="G17" s="361">
        <v>119121.22</v>
      </c>
    </row>
    <row r="18" spans="1:7" s="622" customFormat="1">
      <c r="A18" s="617" t="s">
        <v>466</v>
      </c>
      <c r="B18" s="586"/>
      <c r="C18" s="616" t="s">
        <v>465</v>
      </c>
      <c r="D18" s="438"/>
      <c r="E18" s="430">
        <v>25000</v>
      </c>
      <c r="F18" s="438">
        <v>67574.601999999999</v>
      </c>
      <c r="G18" s="361">
        <v>68825</v>
      </c>
    </row>
    <row r="19" spans="1:7" s="622" customFormat="1">
      <c r="A19" s="617" t="s">
        <v>464</v>
      </c>
      <c r="B19" s="586"/>
      <c r="C19" s="616" t="s">
        <v>463</v>
      </c>
      <c r="D19" s="438"/>
      <c r="E19" s="430">
        <v>42300</v>
      </c>
      <c r="F19" s="438">
        <v>44474.071499999998</v>
      </c>
      <c r="G19" s="361">
        <v>43130.5</v>
      </c>
    </row>
    <row r="20" spans="1:7" s="480" customFormat="1" ht="12.75" customHeight="1">
      <c r="A20" s="783">
        <v>39</v>
      </c>
      <c r="B20" s="614"/>
      <c r="C20" s="583" t="s">
        <v>447</v>
      </c>
      <c r="D20" s="333"/>
      <c r="E20" s="372">
        <v>196057.9</v>
      </c>
      <c r="F20" s="333">
        <v>194673.05239000008</v>
      </c>
      <c r="G20" s="354">
        <v>192285.05</v>
      </c>
    </row>
    <row r="21" spans="1:7" ht="12.75" customHeight="1">
      <c r="A21" s="774"/>
      <c r="B21" s="578"/>
      <c r="C21" s="576" t="s">
        <v>462</v>
      </c>
      <c r="D21" s="380">
        <f>D4+D5+SUM(D8:D13)+D17</f>
        <v>0</v>
      </c>
      <c r="E21" s="380">
        <f>E4+E5+SUM(E8:E13)+E17</f>
        <v>3226766.5</v>
      </c>
      <c r="F21" s="380">
        <f>F4+F5+SUM(F8:F13)+F17</f>
        <v>3312735.7987300009</v>
      </c>
      <c r="G21" s="380">
        <f>G4+G5+SUM(G8:G13)+G17</f>
        <v>3332845.2600000002</v>
      </c>
    </row>
    <row r="22" spans="1:7" s="771" customFormat="1" ht="12.75" customHeight="1">
      <c r="A22" s="597" t="s">
        <v>226</v>
      </c>
      <c r="B22" s="776"/>
      <c r="C22" s="589" t="s">
        <v>461</v>
      </c>
      <c r="D22" s="311"/>
      <c r="E22" s="310">
        <v>1346600</v>
      </c>
      <c r="F22" s="311">
        <v>1376114.3677399999</v>
      </c>
      <c r="G22" s="310">
        <v>1405652</v>
      </c>
    </row>
    <row r="23" spans="1:7" s="771" customFormat="1">
      <c r="A23" s="597" t="s">
        <v>224</v>
      </c>
      <c r="B23" s="776"/>
      <c r="C23" s="589" t="s">
        <v>460</v>
      </c>
      <c r="D23" s="311"/>
      <c r="E23" s="310">
        <v>425406</v>
      </c>
      <c r="F23" s="311">
        <v>447496.19598999998</v>
      </c>
      <c r="G23" s="310">
        <v>425933</v>
      </c>
    </row>
    <row r="24" spans="1:7" s="621" customFormat="1" ht="12.75" customHeight="1">
      <c r="A24" s="593">
        <v>41</v>
      </c>
      <c r="B24" s="587"/>
      <c r="C24" s="585" t="s">
        <v>459</v>
      </c>
      <c r="D24" s="317"/>
      <c r="E24" s="316">
        <v>103752.25</v>
      </c>
      <c r="F24" s="317">
        <v>105436.76303999999</v>
      </c>
      <c r="G24" s="316">
        <v>111343.42</v>
      </c>
    </row>
    <row r="25" spans="1:7" s="480" customFormat="1" ht="12.75" customHeight="1">
      <c r="A25" s="732">
        <v>42</v>
      </c>
      <c r="B25" s="619"/>
      <c r="C25" s="585" t="s">
        <v>458</v>
      </c>
      <c r="D25" s="317"/>
      <c r="E25" s="316">
        <v>237774.26</v>
      </c>
      <c r="F25" s="317">
        <v>243146.10587999996</v>
      </c>
      <c r="G25" s="316">
        <v>246201.11</v>
      </c>
    </row>
    <row r="26" spans="1:7" s="618" customFormat="1" ht="12.75" customHeight="1">
      <c r="A26" s="597">
        <v>430</v>
      </c>
      <c r="B26" s="587"/>
      <c r="C26" s="585" t="s">
        <v>457</v>
      </c>
      <c r="D26" s="431"/>
      <c r="E26" s="430">
        <v>17610.37</v>
      </c>
      <c r="F26" s="431">
        <v>17030.014829999993</v>
      </c>
      <c r="G26" s="430">
        <v>16624.97</v>
      </c>
    </row>
    <row r="27" spans="1:7" s="618" customFormat="1" ht="12.75" customHeight="1">
      <c r="A27" s="597">
        <v>431</v>
      </c>
      <c r="B27" s="587"/>
      <c r="C27" s="585" t="s">
        <v>456</v>
      </c>
      <c r="D27" s="431"/>
      <c r="E27" s="430">
        <v>373.46</v>
      </c>
      <c r="F27" s="431">
        <v>224.61365000000001</v>
      </c>
      <c r="G27" s="430">
        <v>322.60000000000002</v>
      </c>
    </row>
    <row r="28" spans="1:7" s="618" customFormat="1" ht="12.75" customHeight="1">
      <c r="A28" s="597">
        <v>432</v>
      </c>
      <c r="B28" s="587"/>
      <c r="C28" s="585" t="s">
        <v>455</v>
      </c>
      <c r="D28" s="431"/>
      <c r="E28" s="430">
        <v>0</v>
      </c>
      <c r="F28" s="430">
        <v>0</v>
      </c>
      <c r="G28" s="430">
        <v>0</v>
      </c>
    </row>
    <row r="29" spans="1:7" s="618" customFormat="1" ht="12.75" customHeight="1">
      <c r="A29" s="597">
        <v>439</v>
      </c>
      <c r="B29" s="587"/>
      <c r="C29" s="585" t="s">
        <v>454</v>
      </c>
      <c r="D29" s="431"/>
      <c r="E29" s="430">
        <v>7706</v>
      </c>
      <c r="F29" s="431">
        <v>6165.7376900000008</v>
      </c>
      <c r="G29" s="430">
        <v>2506.0300000000002</v>
      </c>
    </row>
    <row r="30" spans="1:7" s="480" customFormat="1" ht="25.5">
      <c r="A30" s="597">
        <v>450</v>
      </c>
      <c r="B30" s="596"/>
      <c r="C30" s="589" t="s">
        <v>453</v>
      </c>
      <c r="D30" s="362"/>
      <c r="E30" s="361">
        <v>6042.94</v>
      </c>
      <c r="F30" s="362">
        <v>9956.9496699999982</v>
      </c>
      <c r="G30" s="361">
        <v>7412.26</v>
      </c>
    </row>
    <row r="31" spans="1:7" s="579" customFormat="1" ht="25.5">
      <c r="A31" s="597">
        <v>451</v>
      </c>
      <c r="B31" s="596"/>
      <c r="C31" s="589" t="s">
        <v>452</v>
      </c>
      <c r="D31" s="311"/>
      <c r="E31" s="316">
        <v>0</v>
      </c>
      <c r="F31" s="430">
        <v>0</v>
      </c>
      <c r="G31" s="316">
        <v>0</v>
      </c>
    </row>
    <row r="32" spans="1:7" s="480" customFormat="1" ht="12.75" customHeight="1">
      <c r="A32" s="593">
        <v>46</v>
      </c>
      <c r="B32" s="587"/>
      <c r="C32" s="585" t="s">
        <v>451</v>
      </c>
      <c r="D32" s="317"/>
      <c r="E32" s="316">
        <v>837294.57</v>
      </c>
      <c r="F32" s="317">
        <v>835837.81437000004</v>
      </c>
      <c r="G32" s="316">
        <v>860662.55</v>
      </c>
    </row>
    <row r="33" spans="1:7" s="626" customFormat="1" ht="25.5">
      <c r="A33" s="629" t="s">
        <v>450</v>
      </c>
      <c r="B33" s="775"/>
      <c r="C33" s="627" t="s">
        <v>449</v>
      </c>
      <c r="D33" s="540"/>
      <c r="E33" s="743">
        <v>0</v>
      </c>
      <c r="F33" s="743">
        <v>0</v>
      </c>
      <c r="G33" s="743">
        <v>0</v>
      </c>
    </row>
    <row r="34" spans="1:7" s="480" customFormat="1" ht="15" customHeight="1">
      <c r="A34" s="593">
        <v>47</v>
      </c>
      <c r="B34" s="587"/>
      <c r="C34" s="585" t="s">
        <v>448</v>
      </c>
      <c r="D34" s="317"/>
      <c r="E34" s="316">
        <v>74797.3</v>
      </c>
      <c r="F34" s="317">
        <v>119238.37395000001</v>
      </c>
      <c r="G34" s="316">
        <v>119121.22</v>
      </c>
    </row>
    <row r="35" spans="1:7" s="480" customFormat="1" ht="15" customHeight="1">
      <c r="A35" s="783">
        <v>49</v>
      </c>
      <c r="B35" s="614"/>
      <c r="C35" s="583" t="s">
        <v>447</v>
      </c>
      <c r="D35" s="333"/>
      <c r="E35" s="372">
        <v>196057.9</v>
      </c>
      <c r="F35" s="333">
        <v>194673.05239</v>
      </c>
      <c r="G35" s="372">
        <v>192285.05</v>
      </c>
    </row>
    <row r="36" spans="1:7" ht="13.5" customHeight="1">
      <c r="A36" s="774"/>
      <c r="B36" s="606"/>
      <c r="C36" s="576" t="s">
        <v>446</v>
      </c>
      <c r="D36" s="380">
        <f>D22+D23+D24+D25+D26+D27+D28+D29+D30+D31+D32+D34</f>
        <v>0</v>
      </c>
      <c r="E36" s="380">
        <f>E22+E23+E24+E25+E26+E27+E28+E29+E30+E31+E32+E34</f>
        <v>3057357.1499999994</v>
      </c>
      <c r="F36" s="380">
        <f>F22+F23+F24+F25+F26+F27+F28+F29+F30+F31+F32+F34</f>
        <v>3160646.9368099999</v>
      </c>
      <c r="G36" s="380">
        <f>G22+G23+G24+G25+G26+G27+G28+G29+G30+G31+G32+G34</f>
        <v>3195779.1599999997</v>
      </c>
    </row>
    <row r="37" spans="1:7" s="667" customFormat="1" ht="15" customHeight="1">
      <c r="A37" s="774"/>
      <c r="B37" s="606"/>
      <c r="C37" s="576" t="s">
        <v>445</v>
      </c>
      <c r="D37" s="380">
        <f>D36-D21</f>
        <v>0</v>
      </c>
      <c r="E37" s="380">
        <f>E36-E21</f>
        <v>-169409.35000000056</v>
      </c>
      <c r="F37" s="380">
        <f>F36-F21</f>
        <v>-152088.86192000099</v>
      </c>
      <c r="G37" s="380">
        <f>G36-G21</f>
        <v>-137066.10000000056</v>
      </c>
    </row>
    <row r="38" spans="1:7" s="579" customFormat="1" ht="15" customHeight="1">
      <c r="A38" s="593">
        <v>340</v>
      </c>
      <c r="B38" s="587"/>
      <c r="C38" s="585" t="s">
        <v>444</v>
      </c>
      <c r="D38" s="317"/>
      <c r="E38" s="316">
        <v>39511</v>
      </c>
      <c r="F38" s="317">
        <v>35279.159460000003</v>
      </c>
      <c r="G38" s="316">
        <v>36784</v>
      </c>
    </row>
    <row r="39" spans="1:7" s="579" customFormat="1" ht="15" customHeight="1">
      <c r="A39" s="593">
        <v>341</v>
      </c>
      <c r="B39" s="587"/>
      <c r="C39" s="585" t="s">
        <v>443</v>
      </c>
      <c r="D39" s="317"/>
      <c r="E39" s="316">
        <v>20</v>
      </c>
      <c r="F39" s="317">
        <v>34.348660000000002</v>
      </c>
      <c r="G39" s="316">
        <v>20</v>
      </c>
    </row>
    <row r="40" spans="1:7" s="626" customFormat="1" ht="15" customHeight="1">
      <c r="A40" s="597">
        <v>342</v>
      </c>
      <c r="B40" s="776"/>
      <c r="C40" s="589" t="s">
        <v>442</v>
      </c>
      <c r="D40" s="311"/>
      <c r="E40" s="310">
        <v>4883.6000000000004</v>
      </c>
      <c r="F40" s="311">
        <v>2147.6813400000001</v>
      </c>
      <c r="G40" s="310">
        <v>2415</v>
      </c>
    </row>
    <row r="41" spans="1:7" s="579" customFormat="1" ht="15" customHeight="1">
      <c r="A41" s="593">
        <v>343</v>
      </c>
      <c r="B41" s="587"/>
      <c r="C41" s="585" t="s">
        <v>441</v>
      </c>
      <c r="D41" s="317"/>
      <c r="E41" s="316">
        <v>0</v>
      </c>
      <c r="F41" s="316">
        <v>0</v>
      </c>
      <c r="G41" s="316">
        <v>0</v>
      </c>
    </row>
    <row r="42" spans="1:7" s="626" customFormat="1" ht="15" customHeight="1">
      <c r="A42" s="597">
        <v>344</v>
      </c>
      <c r="B42" s="776"/>
      <c r="C42" s="589" t="s">
        <v>440</v>
      </c>
      <c r="D42" s="311"/>
      <c r="E42" s="310">
        <v>0</v>
      </c>
      <c r="F42" s="310">
        <v>0</v>
      </c>
      <c r="G42" s="310">
        <v>0</v>
      </c>
    </row>
    <row r="43" spans="1:7" s="579" customFormat="1" ht="15" customHeight="1">
      <c r="A43" s="593">
        <v>349</v>
      </c>
      <c r="B43" s="587"/>
      <c r="C43" s="585" t="s">
        <v>439</v>
      </c>
      <c r="D43" s="317"/>
      <c r="E43" s="316">
        <v>3515</v>
      </c>
      <c r="F43" s="317">
        <v>5099.5842599999996</v>
      </c>
      <c r="G43" s="316">
        <v>3875</v>
      </c>
    </row>
    <row r="44" spans="1:7" s="480" customFormat="1" ht="15" customHeight="1">
      <c r="A44" s="593">
        <v>440</v>
      </c>
      <c r="B44" s="587"/>
      <c r="C44" s="585" t="s">
        <v>438</v>
      </c>
      <c r="D44" s="317"/>
      <c r="E44" s="316">
        <v>9441.2000000000007</v>
      </c>
      <c r="F44" s="317">
        <v>7511.4382100000012</v>
      </c>
      <c r="G44" s="316">
        <v>8794.57</v>
      </c>
    </row>
    <row r="45" spans="1:7" s="771" customFormat="1" ht="15" customHeight="1">
      <c r="A45" s="597">
        <v>441</v>
      </c>
      <c r="B45" s="776"/>
      <c r="C45" s="589" t="s">
        <v>437</v>
      </c>
      <c r="D45" s="311"/>
      <c r="E45" s="625">
        <v>433.7</v>
      </c>
      <c r="F45" s="311">
        <v>427.32059000000004</v>
      </c>
      <c r="G45" s="625">
        <v>80</v>
      </c>
    </row>
    <row r="46" spans="1:7" s="771" customFormat="1" ht="15" customHeight="1">
      <c r="A46" s="597">
        <v>442</v>
      </c>
      <c r="B46" s="776"/>
      <c r="C46" s="589" t="s">
        <v>436</v>
      </c>
      <c r="D46" s="311"/>
      <c r="E46" s="310">
        <v>0</v>
      </c>
      <c r="F46" s="310">
        <v>0</v>
      </c>
      <c r="G46" s="310">
        <v>0</v>
      </c>
    </row>
    <row r="47" spans="1:7" s="480" customFormat="1" ht="15" customHeight="1">
      <c r="A47" s="593">
        <v>443</v>
      </c>
      <c r="B47" s="587"/>
      <c r="C47" s="585" t="s">
        <v>435</v>
      </c>
      <c r="D47" s="317"/>
      <c r="E47" s="594">
        <v>0</v>
      </c>
      <c r="F47" s="594">
        <v>0</v>
      </c>
      <c r="G47" s="594">
        <v>0</v>
      </c>
    </row>
    <row r="48" spans="1:7" s="480" customFormat="1" ht="15" customHeight="1">
      <c r="A48" s="593">
        <v>444</v>
      </c>
      <c r="B48" s="587"/>
      <c r="C48" s="585" t="s">
        <v>434</v>
      </c>
      <c r="D48" s="317"/>
      <c r="E48" s="594">
        <v>0</v>
      </c>
      <c r="F48" s="594">
        <v>0</v>
      </c>
      <c r="G48" s="594">
        <v>0</v>
      </c>
    </row>
    <row r="49" spans="1:7" s="480" customFormat="1" ht="15" customHeight="1">
      <c r="A49" s="593">
        <v>445</v>
      </c>
      <c r="B49" s="587"/>
      <c r="C49" s="585" t="s">
        <v>433</v>
      </c>
      <c r="D49" s="317"/>
      <c r="E49" s="316">
        <v>211</v>
      </c>
      <c r="F49" s="317">
        <v>227.6139</v>
      </c>
      <c r="G49" s="316">
        <v>231</v>
      </c>
    </row>
    <row r="50" spans="1:7" s="480" customFormat="1" ht="15" customHeight="1">
      <c r="A50" s="593">
        <v>446</v>
      </c>
      <c r="B50" s="587"/>
      <c r="C50" s="585" t="s">
        <v>432</v>
      </c>
      <c r="D50" s="317"/>
      <c r="E50" s="316">
        <v>49859</v>
      </c>
      <c r="F50" s="317">
        <v>49329.528600000005</v>
      </c>
      <c r="G50" s="316">
        <v>43227</v>
      </c>
    </row>
    <row r="51" spans="1:7" s="771" customFormat="1" ht="15" customHeight="1">
      <c r="A51" s="597">
        <v>447</v>
      </c>
      <c r="B51" s="776"/>
      <c r="C51" s="589" t="s">
        <v>431</v>
      </c>
      <c r="D51" s="311"/>
      <c r="E51" s="310">
        <v>7330.95</v>
      </c>
      <c r="F51" s="311">
        <v>7191.1704499999996</v>
      </c>
      <c r="G51" s="310">
        <v>7400.84</v>
      </c>
    </row>
    <row r="52" spans="1:7" s="480" customFormat="1" ht="15" customHeight="1">
      <c r="A52" s="593">
        <v>448</v>
      </c>
      <c r="B52" s="587"/>
      <c r="C52" s="585" t="s">
        <v>430</v>
      </c>
      <c r="D52" s="317"/>
      <c r="E52" s="594">
        <v>0</v>
      </c>
      <c r="F52" s="594">
        <v>0</v>
      </c>
      <c r="G52" s="594">
        <v>0</v>
      </c>
    </row>
    <row r="53" spans="1:7" s="771" customFormat="1" ht="15" customHeight="1">
      <c r="A53" s="597">
        <v>449</v>
      </c>
      <c r="B53" s="776"/>
      <c r="C53" s="589" t="s">
        <v>429</v>
      </c>
      <c r="D53" s="311"/>
      <c r="E53" s="625">
        <v>0</v>
      </c>
      <c r="F53" s="625">
        <v>0</v>
      </c>
      <c r="G53" s="625">
        <v>0</v>
      </c>
    </row>
    <row r="54" spans="1:7" s="579" customFormat="1" ht="13.5" customHeight="1">
      <c r="A54" s="607" t="s">
        <v>428</v>
      </c>
      <c r="B54" s="580"/>
      <c r="C54" s="580" t="s">
        <v>427</v>
      </c>
      <c r="D54" s="300"/>
      <c r="E54" s="779">
        <v>0</v>
      </c>
      <c r="F54" s="779">
        <v>0</v>
      </c>
      <c r="G54" s="779">
        <v>0</v>
      </c>
    </row>
    <row r="55" spans="1:7" ht="15" customHeight="1">
      <c r="A55" s="778"/>
      <c r="B55" s="606"/>
      <c r="C55" s="576" t="s">
        <v>426</v>
      </c>
      <c r="D55" s="380">
        <f>SUM(D44:D53)-SUM(D38:D43)</f>
        <v>0</v>
      </c>
      <c r="E55" s="380">
        <f>SUM(E44:E53)-SUM(E38:E43)</f>
        <v>19346.250000000007</v>
      </c>
      <c r="F55" s="380">
        <f>SUM(F44:F53)-SUM(F38:F43)</f>
        <v>22126.298029999991</v>
      </c>
      <c r="G55" s="380">
        <f>SUM(G44:G53)-SUM(G38:G43)</f>
        <v>16639.410000000003</v>
      </c>
    </row>
    <row r="56" spans="1:7" ht="14.25" customHeight="1">
      <c r="A56" s="778"/>
      <c r="B56" s="606"/>
      <c r="C56" s="576" t="s">
        <v>425</v>
      </c>
      <c r="D56" s="380">
        <f>D55+D37</f>
        <v>0</v>
      </c>
      <c r="E56" s="380">
        <f>E55+E37</f>
        <v>-150063.10000000056</v>
      </c>
      <c r="F56" s="380">
        <f>F55+F37</f>
        <v>-129962.56389000099</v>
      </c>
      <c r="G56" s="380">
        <f>G55+G37</f>
        <v>-120426.69000000056</v>
      </c>
    </row>
    <row r="57" spans="1:7" s="480" customFormat="1" ht="15.75" customHeight="1">
      <c r="A57" s="777">
        <v>380</v>
      </c>
      <c r="B57" s="604"/>
      <c r="C57" s="603" t="s">
        <v>424</v>
      </c>
      <c r="D57" s="735"/>
      <c r="E57" s="601">
        <v>0</v>
      </c>
      <c r="F57" s="735">
        <v>0</v>
      </c>
      <c r="G57" s="601">
        <v>0</v>
      </c>
    </row>
    <row r="58" spans="1:7" s="480" customFormat="1" ht="15.75" customHeight="1">
      <c r="A58" s="777">
        <v>381</v>
      </c>
      <c r="B58" s="604"/>
      <c r="C58" s="603" t="s">
        <v>423</v>
      </c>
      <c r="D58" s="735"/>
      <c r="E58" s="601">
        <v>0</v>
      </c>
      <c r="F58" s="735">
        <v>0</v>
      </c>
      <c r="G58" s="601">
        <v>0</v>
      </c>
    </row>
    <row r="59" spans="1:7" s="579" customFormat="1" ht="27.6" customHeight="1">
      <c r="A59" s="597">
        <v>383</v>
      </c>
      <c r="B59" s="596"/>
      <c r="C59" s="589" t="s">
        <v>422</v>
      </c>
      <c r="D59" s="343"/>
      <c r="E59" s="342">
        <v>0</v>
      </c>
      <c r="F59" s="343">
        <v>0</v>
      </c>
      <c r="G59" s="342">
        <v>0</v>
      </c>
    </row>
    <row r="60" spans="1:7" s="579" customFormat="1">
      <c r="A60" s="597">
        <v>3840</v>
      </c>
      <c r="B60" s="596"/>
      <c r="C60" s="589" t="s">
        <v>421</v>
      </c>
      <c r="D60" s="401"/>
      <c r="E60" s="400">
        <v>0</v>
      </c>
      <c r="F60" s="401">
        <v>0</v>
      </c>
      <c r="G60" s="400">
        <v>0</v>
      </c>
    </row>
    <row r="61" spans="1:7" s="579" customFormat="1" ht="26.45" customHeight="1">
      <c r="A61" s="597">
        <v>3841</v>
      </c>
      <c r="B61" s="596"/>
      <c r="C61" s="589" t="s">
        <v>420</v>
      </c>
      <c r="D61" s="401"/>
      <c r="E61" s="400">
        <v>0</v>
      </c>
      <c r="F61" s="401">
        <v>0</v>
      </c>
      <c r="G61" s="400">
        <v>0</v>
      </c>
    </row>
    <row r="62" spans="1:7" s="579" customFormat="1">
      <c r="A62" s="600">
        <v>386</v>
      </c>
      <c r="B62" s="599"/>
      <c r="C62" s="598" t="s">
        <v>419</v>
      </c>
      <c r="D62" s="401"/>
      <c r="E62" s="400">
        <v>0</v>
      </c>
      <c r="F62" s="401">
        <v>0</v>
      </c>
      <c r="G62" s="400">
        <v>0</v>
      </c>
    </row>
    <row r="63" spans="1:7" s="579" customFormat="1" ht="27.6" customHeight="1">
      <c r="A63" s="597">
        <v>387</v>
      </c>
      <c r="B63" s="596"/>
      <c r="C63" s="589" t="s">
        <v>418</v>
      </c>
      <c r="D63" s="401"/>
      <c r="E63" s="400">
        <v>0</v>
      </c>
      <c r="F63" s="401">
        <v>0</v>
      </c>
      <c r="G63" s="400">
        <v>0</v>
      </c>
    </row>
    <row r="64" spans="1:7" s="579" customFormat="1">
      <c r="A64" s="593">
        <v>389</v>
      </c>
      <c r="B64" s="592"/>
      <c r="C64" s="585" t="s">
        <v>417</v>
      </c>
      <c r="D64" s="317"/>
      <c r="E64" s="316">
        <v>0</v>
      </c>
      <c r="F64" s="317">
        <v>1133.694</v>
      </c>
      <c r="G64" s="316">
        <v>0</v>
      </c>
    </row>
    <row r="65" spans="1:7" s="771" customFormat="1">
      <c r="A65" s="597" t="s">
        <v>181</v>
      </c>
      <c r="B65" s="776"/>
      <c r="C65" s="589" t="s">
        <v>416</v>
      </c>
      <c r="D65" s="311"/>
      <c r="E65" s="310">
        <v>0</v>
      </c>
      <c r="F65" s="311">
        <v>0</v>
      </c>
      <c r="G65" s="310">
        <v>0</v>
      </c>
    </row>
    <row r="66" spans="1:7" s="588" customFormat="1" ht="25.5">
      <c r="A66" s="597" t="s">
        <v>179</v>
      </c>
      <c r="B66" s="590"/>
      <c r="C66" s="589" t="s">
        <v>415</v>
      </c>
      <c r="D66" s="343"/>
      <c r="E66" s="342">
        <v>0</v>
      </c>
      <c r="F66" s="343">
        <v>0</v>
      </c>
      <c r="G66" s="342">
        <v>0</v>
      </c>
    </row>
    <row r="67" spans="1:7" s="480" customFormat="1">
      <c r="A67" s="597">
        <v>481</v>
      </c>
      <c r="B67" s="587"/>
      <c r="C67" s="585" t="s">
        <v>414</v>
      </c>
      <c r="D67" s="317"/>
      <c r="E67" s="316">
        <v>0</v>
      </c>
      <c r="F67" s="317">
        <v>0</v>
      </c>
      <c r="G67" s="316">
        <v>0</v>
      </c>
    </row>
    <row r="68" spans="1:7" s="480" customFormat="1">
      <c r="A68" s="597">
        <v>482</v>
      </c>
      <c r="B68" s="587"/>
      <c r="C68" s="585" t="s">
        <v>413</v>
      </c>
      <c r="D68" s="317"/>
      <c r="E68" s="316">
        <v>0</v>
      </c>
      <c r="F68" s="317">
        <v>0</v>
      </c>
      <c r="G68" s="316">
        <v>0</v>
      </c>
    </row>
    <row r="69" spans="1:7" s="480" customFormat="1">
      <c r="A69" s="597">
        <v>483</v>
      </c>
      <c r="B69" s="587"/>
      <c r="C69" s="585" t="s">
        <v>412</v>
      </c>
      <c r="D69" s="317"/>
      <c r="E69" s="316">
        <v>0</v>
      </c>
      <c r="F69" s="317">
        <v>0</v>
      </c>
      <c r="G69" s="316">
        <v>0</v>
      </c>
    </row>
    <row r="70" spans="1:7" s="480" customFormat="1">
      <c r="A70" s="597">
        <v>484</v>
      </c>
      <c r="B70" s="587"/>
      <c r="C70" s="585" t="s">
        <v>411</v>
      </c>
      <c r="D70" s="317"/>
      <c r="E70" s="316">
        <v>0</v>
      </c>
      <c r="F70" s="317">
        <v>0</v>
      </c>
      <c r="G70" s="316">
        <v>0</v>
      </c>
    </row>
    <row r="71" spans="1:7" s="771" customFormat="1" ht="25.5">
      <c r="A71" s="597">
        <v>485</v>
      </c>
      <c r="B71" s="776"/>
      <c r="C71" s="589" t="s">
        <v>410</v>
      </c>
      <c r="D71" s="311"/>
      <c r="E71" s="310">
        <v>0</v>
      </c>
      <c r="F71" s="311">
        <v>0</v>
      </c>
      <c r="G71" s="310">
        <v>0</v>
      </c>
    </row>
    <row r="72" spans="1:7" s="480" customFormat="1">
      <c r="A72" s="597">
        <v>486</v>
      </c>
      <c r="B72" s="587"/>
      <c r="C72" s="585" t="s">
        <v>409</v>
      </c>
      <c r="D72" s="317"/>
      <c r="E72" s="316">
        <v>0</v>
      </c>
      <c r="F72" s="317">
        <v>0</v>
      </c>
      <c r="G72" s="316">
        <v>0</v>
      </c>
    </row>
    <row r="73" spans="1:7" s="626" customFormat="1" ht="25.5">
      <c r="A73" s="597">
        <v>487</v>
      </c>
      <c r="B73" s="775"/>
      <c r="C73" s="589" t="s">
        <v>408</v>
      </c>
      <c r="D73" s="311"/>
      <c r="E73" s="310">
        <v>0</v>
      </c>
      <c r="F73" s="311">
        <v>0</v>
      </c>
      <c r="G73" s="310">
        <v>0</v>
      </c>
    </row>
    <row r="74" spans="1:7" s="579" customFormat="1" ht="15" customHeight="1">
      <c r="A74" s="597">
        <v>489</v>
      </c>
      <c r="B74" s="581"/>
      <c r="C74" s="583" t="s">
        <v>407</v>
      </c>
      <c r="D74" s="311"/>
      <c r="E74" s="310">
        <v>2033.9</v>
      </c>
      <c r="F74" s="311">
        <v>3077.1876899999997</v>
      </c>
      <c r="G74" s="310">
        <v>0</v>
      </c>
    </row>
    <row r="75" spans="1:7" s="579" customFormat="1">
      <c r="A75" s="582" t="s">
        <v>406</v>
      </c>
      <c r="B75" s="581"/>
      <c r="C75" s="580" t="s">
        <v>405</v>
      </c>
      <c r="D75" s="317"/>
      <c r="E75" s="316">
        <v>0</v>
      </c>
      <c r="F75" s="317"/>
      <c r="G75" s="316">
        <v>0</v>
      </c>
    </row>
    <row r="76" spans="1:7">
      <c r="A76" s="774"/>
      <c r="B76" s="578"/>
      <c r="C76" s="576" t="s">
        <v>404</v>
      </c>
      <c r="D76" s="380">
        <f>SUM(D65:D74)-SUM(D57:D64)</f>
        <v>0</v>
      </c>
      <c r="E76" s="380">
        <f>SUM(E65:E74)-SUM(E57:E64)</f>
        <v>2033.9</v>
      </c>
      <c r="F76" s="380">
        <f>SUM(F65:F74)-SUM(F57:F64)</f>
        <v>1943.4936899999998</v>
      </c>
      <c r="G76" s="380">
        <f>SUM(G65:G74)-SUM(G57:G64)</f>
        <v>0</v>
      </c>
    </row>
    <row r="77" spans="1:7">
      <c r="A77" s="773"/>
      <c r="B77" s="577"/>
      <c r="C77" s="576" t="s">
        <v>403</v>
      </c>
      <c r="D77" s="380">
        <f>D56+D76</f>
        <v>0</v>
      </c>
      <c r="E77" s="380">
        <f>E56+E76</f>
        <v>-148029.20000000056</v>
      </c>
      <c r="F77" s="380">
        <f>F56+F76</f>
        <v>-128019.07020000099</v>
      </c>
      <c r="G77" s="380">
        <f>G56+G76</f>
        <v>-120426.69000000056</v>
      </c>
    </row>
    <row r="78" spans="1:7">
      <c r="A78" s="772">
        <v>3</v>
      </c>
      <c r="B78" s="575"/>
      <c r="C78" s="574" t="s">
        <v>165</v>
      </c>
      <c r="D78" s="377">
        <f>D20+D21+SUM(D38:D43)+SUM(D57:D64)</f>
        <v>0</v>
      </c>
      <c r="E78" s="377">
        <f>E20+E21+SUM(E38:E43)+SUM(E57:E64)</f>
        <v>3470754</v>
      </c>
      <c r="F78" s="377">
        <f>F20+F21+SUM(F38:F43)+SUM(F57:F64)</f>
        <v>3551103.3188400008</v>
      </c>
      <c r="G78" s="377">
        <f>G20+G21+SUM(G38:G43)+SUM(G57:G64)</f>
        <v>3568224.31</v>
      </c>
    </row>
    <row r="79" spans="1:7">
      <c r="A79" s="772">
        <v>4</v>
      </c>
      <c r="B79" s="575"/>
      <c r="C79" s="574" t="s">
        <v>164</v>
      </c>
      <c r="D79" s="377">
        <f>D35+D36+SUM(D44:D53)+SUM(D65:D74)</f>
        <v>0</v>
      </c>
      <c r="E79" s="377">
        <f>E35+E36+SUM(E44:E53)+SUM(E65:E74)</f>
        <v>3322724.7999999993</v>
      </c>
      <c r="F79" s="377">
        <f>F35+F36+SUM(F44:F53)+SUM(F65:F74)</f>
        <v>3423084.2486399999</v>
      </c>
      <c r="G79" s="377">
        <f>G35+G36+SUM(G44:G53)+SUM(G65:G74)</f>
        <v>3447797.6199999996</v>
      </c>
    </row>
    <row r="80" spans="1:7">
      <c r="A80" s="762"/>
      <c r="B80" s="534"/>
      <c r="C80" s="533"/>
      <c r="D80" s="260"/>
      <c r="E80" s="260"/>
      <c r="F80" s="260"/>
      <c r="G80" s="260"/>
    </row>
    <row r="81" spans="1:7">
      <c r="A81" s="951" t="s">
        <v>402</v>
      </c>
      <c r="B81" s="952"/>
      <c r="C81" s="952"/>
      <c r="D81" s="376"/>
      <c r="E81" s="376"/>
      <c r="F81" s="376"/>
      <c r="G81" s="376"/>
    </row>
    <row r="82" spans="1:7" s="480" customFormat="1">
      <c r="A82" s="567">
        <v>50</v>
      </c>
      <c r="B82" s="565"/>
      <c r="C82" s="565" t="s">
        <v>401</v>
      </c>
      <c r="D82" s="317"/>
      <c r="E82" s="316">
        <v>179555</v>
      </c>
      <c r="F82" s="317">
        <v>148802.28576000003</v>
      </c>
      <c r="G82" s="316">
        <v>173084</v>
      </c>
    </row>
    <row r="83" spans="1:7" s="480" customFormat="1">
      <c r="A83" s="567">
        <v>51</v>
      </c>
      <c r="B83" s="565"/>
      <c r="C83" s="565" t="s">
        <v>400</v>
      </c>
      <c r="D83" s="317"/>
      <c r="E83" s="316">
        <v>1000</v>
      </c>
      <c r="F83" s="317">
        <v>616.07725000000005</v>
      </c>
      <c r="G83" s="316">
        <v>1000</v>
      </c>
    </row>
    <row r="84" spans="1:7" s="480" customFormat="1">
      <c r="A84" s="567">
        <v>52</v>
      </c>
      <c r="B84" s="565"/>
      <c r="C84" s="565" t="s">
        <v>399</v>
      </c>
      <c r="D84" s="317"/>
      <c r="E84" s="316">
        <v>0</v>
      </c>
      <c r="F84" s="316">
        <v>0</v>
      </c>
      <c r="G84" s="316">
        <v>0</v>
      </c>
    </row>
    <row r="85" spans="1:7" s="480" customFormat="1">
      <c r="A85" s="571">
        <v>54</v>
      </c>
      <c r="B85" s="570"/>
      <c r="C85" s="570" t="s">
        <v>363</v>
      </c>
      <c r="D85" s="322"/>
      <c r="E85" s="316">
        <v>9088</v>
      </c>
      <c r="F85" s="322">
        <v>3747.0659999999998</v>
      </c>
      <c r="G85" s="316">
        <v>6843</v>
      </c>
    </row>
    <row r="86" spans="1:7" s="480" customFormat="1">
      <c r="A86" s="571">
        <v>55</v>
      </c>
      <c r="B86" s="570"/>
      <c r="C86" s="570" t="s">
        <v>398</v>
      </c>
      <c r="D86" s="322"/>
      <c r="E86" s="316">
        <v>0</v>
      </c>
      <c r="F86" s="322">
        <v>40000</v>
      </c>
      <c r="G86" s="316">
        <v>0</v>
      </c>
    </row>
    <row r="87" spans="1:7" s="480" customFormat="1">
      <c r="A87" s="571">
        <v>56</v>
      </c>
      <c r="B87" s="570"/>
      <c r="C87" s="570" t="s">
        <v>397</v>
      </c>
      <c r="D87" s="322"/>
      <c r="E87" s="316">
        <v>99148.3</v>
      </c>
      <c r="F87" s="322">
        <v>88016.226200000005</v>
      </c>
      <c r="G87" s="316">
        <v>109283.1</v>
      </c>
    </row>
    <row r="88" spans="1:7" s="480" customFormat="1">
      <c r="A88" s="567">
        <v>57</v>
      </c>
      <c r="B88" s="565"/>
      <c r="C88" s="565" t="s">
        <v>382</v>
      </c>
      <c r="D88" s="317"/>
      <c r="E88" s="316">
        <v>51711.4</v>
      </c>
      <c r="F88" s="317">
        <v>45571.016099999993</v>
      </c>
      <c r="G88" s="316">
        <v>45942.9</v>
      </c>
    </row>
    <row r="89" spans="1:7" s="771" customFormat="1" ht="25.5">
      <c r="A89" s="566">
        <v>580</v>
      </c>
      <c r="B89" s="564"/>
      <c r="C89" s="564" t="s">
        <v>396</v>
      </c>
      <c r="D89" s="311"/>
      <c r="E89" s="310">
        <v>0</v>
      </c>
      <c r="F89" s="311">
        <v>0</v>
      </c>
      <c r="G89" s="310">
        <v>0</v>
      </c>
    </row>
    <row r="90" spans="1:7" s="771" customFormat="1" ht="25.5">
      <c r="A90" s="566">
        <v>582</v>
      </c>
      <c r="B90" s="564"/>
      <c r="C90" s="564" t="s">
        <v>395</v>
      </c>
      <c r="D90" s="311"/>
      <c r="E90" s="310">
        <v>0</v>
      </c>
      <c r="F90" s="311">
        <v>0</v>
      </c>
      <c r="G90" s="310">
        <v>0</v>
      </c>
    </row>
    <row r="91" spans="1:7" s="480" customFormat="1">
      <c r="A91" s="567">
        <v>584</v>
      </c>
      <c r="B91" s="565"/>
      <c r="C91" s="565" t="s">
        <v>394</v>
      </c>
      <c r="D91" s="317"/>
      <c r="E91" s="316">
        <v>0</v>
      </c>
      <c r="F91" s="317">
        <v>0</v>
      </c>
      <c r="G91" s="316">
        <v>0</v>
      </c>
    </row>
    <row r="92" spans="1:7" s="771" customFormat="1" ht="25.5">
      <c r="A92" s="566">
        <v>585</v>
      </c>
      <c r="B92" s="564"/>
      <c r="C92" s="564" t="s">
        <v>393</v>
      </c>
      <c r="D92" s="311"/>
      <c r="E92" s="310">
        <v>0</v>
      </c>
      <c r="F92" s="311">
        <v>0</v>
      </c>
      <c r="G92" s="310">
        <v>0</v>
      </c>
    </row>
    <row r="93" spans="1:7" s="480" customFormat="1">
      <c r="A93" s="567">
        <v>586</v>
      </c>
      <c r="B93" s="565"/>
      <c r="C93" s="565" t="s">
        <v>392</v>
      </c>
      <c r="D93" s="317"/>
      <c r="E93" s="316">
        <v>0</v>
      </c>
      <c r="F93" s="317">
        <v>0</v>
      </c>
      <c r="G93" s="316">
        <v>0</v>
      </c>
    </row>
    <row r="94" spans="1:7" s="480" customFormat="1">
      <c r="A94" s="568">
        <v>589</v>
      </c>
      <c r="B94" s="561"/>
      <c r="C94" s="561" t="s">
        <v>391</v>
      </c>
      <c r="D94" s="333"/>
      <c r="E94" s="372">
        <v>0</v>
      </c>
      <c r="F94" s="333">
        <v>0</v>
      </c>
      <c r="G94" s="372">
        <v>0</v>
      </c>
    </row>
    <row r="95" spans="1:7">
      <c r="A95" s="557">
        <v>5</v>
      </c>
      <c r="B95" s="555"/>
      <c r="C95" s="555" t="s">
        <v>390</v>
      </c>
      <c r="D95" s="348">
        <f>SUM(D82:D94)</f>
        <v>0</v>
      </c>
      <c r="E95" s="348">
        <f>SUM(E82:E94)</f>
        <v>340502.7</v>
      </c>
      <c r="F95" s="348">
        <f>SUM(F82:F94)</f>
        <v>326752.67131000001</v>
      </c>
      <c r="G95" s="348">
        <f>SUM(G82:G94)</f>
        <v>336153</v>
      </c>
    </row>
    <row r="96" spans="1:7" s="771" customFormat="1" ht="25.5">
      <c r="A96" s="566">
        <v>60</v>
      </c>
      <c r="B96" s="564"/>
      <c r="C96" s="564" t="s">
        <v>389</v>
      </c>
      <c r="D96" s="311"/>
      <c r="E96" s="310">
        <v>500</v>
      </c>
      <c r="F96" s="311">
        <v>316.88245000000001</v>
      </c>
      <c r="G96" s="311">
        <v>500</v>
      </c>
    </row>
    <row r="97" spans="1:7" s="771" customFormat="1" ht="25.5">
      <c r="A97" s="566">
        <v>61</v>
      </c>
      <c r="B97" s="564"/>
      <c r="C97" s="564" t="s">
        <v>388</v>
      </c>
      <c r="D97" s="311"/>
      <c r="E97" s="310">
        <v>1000</v>
      </c>
      <c r="F97" s="311">
        <v>616.08388000000002</v>
      </c>
      <c r="G97" s="311">
        <v>1000</v>
      </c>
    </row>
    <row r="98" spans="1:7" s="480" customFormat="1">
      <c r="A98" s="567">
        <v>62</v>
      </c>
      <c r="B98" s="565"/>
      <c r="C98" s="565" t="s">
        <v>387</v>
      </c>
      <c r="D98" s="317"/>
      <c r="E98" s="316">
        <v>0</v>
      </c>
      <c r="F98" s="316">
        <v>0</v>
      </c>
      <c r="G98" s="317">
        <v>0</v>
      </c>
    </row>
    <row r="99" spans="1:7" s="480" customFormat="1">
      <c r="A99" s="567">
        <v>63</v>
      </c>
      <c r="B99" s="565"/>
      <c r="C99" s="565" t="s">
        <v>386</v>
      </c>
      <c r="D99" s="317"/>
      <c r="E99" s="316">
        <v>53311</v>
      </c>
      <c r="F99" s="317">
        <v>45956.909949999994</v>
      </c>
      <c r="G99" s="317">
        <v>48196.75</v>
      </c>
    </row>
    <row r="100" spans="1:7" s="480" customFormat="1">
      <c r="A100" s="567">
        <v>64</v>
      </c>
      <c r="B100" s="565"/>
      <c r="C100" s="565" t="s">
        <v>385</v>
      </c>
      <c r="D100" s="317"/>
      <c r="E100" s="316">
        <v>9924</v>
      </c>
      <c r="F100" s="317">
        <v>12574.243</v>
      </c>
      <c r="G100" s="317">
        <v>11294.3</v>
      </c>
    </row>
    <row r="101" spans="1:7" s="480" customFormat="1">
      <c r="A101" s="567">
        <v>65</v>
      </c>
      <c r="B101" s="565"/>
      <c r="C101" s="565" t="s">
        <v>384</v>
      </c>
      <c r="D101" s="317"/>
      <c r="E101" s="316">
        <v>0</v>
      </c>
      <c r="F101" s="316">
        <v>0</v>
      </c>
      <c r="G101" s="317">
        <v>0</v>
      </c>
    </row>
    <row r="102" spans="1:7" s="771" customFormat="1">
      <c r="A102" s="566">
        <v>66</v>
      </c>
      <c r="B102" s="564"/>
      <c r="C102" s="564" t="s">
        <v>383</v>
      </c>
      <c r="D102" s="311"/>
      <c r="E102" s="310">
        <v>18520</v>
      </c>
      <c r="F102" s="311">
        <v>13236.742219999998</v>
      </c>
      <c r="G102" s="311">
        <v>18600</v>
      </c>
    </row>
    <row r="103" spans="1:7" s="480" customFormat="1">
      <c r="A103" s="567">
        <v>67</v>
      </c>
      <c r="B103" s="565"/>
      <c r="C103" s="565" t="s">
        <v>382</v>
      </c>
      <c r="D103" s="317"/>
      <c r="E103" s="361">
        <v>51711.4</v>
      </c>
      <c r="F103" s="317">
        <v>45571.016099999993</v>
      </c>
      <c r="G103" s="317">
        <v>45942.9</v>
      </c>
    </row>
    <row r="104" spans="1:7" s="480" customFormat="1" ht="38.25">
      <c r="A104" s="566" t="s">
        <v>142</v>
      </c>
      <c r="B104" s="565"/>
      <c r="C104" s="564" t="s">
        <v>381</v>
      </c>
      <c r="D104" s="317"/>
      <c r="E104" s="316">
        <v>0</v>
      </c>
      <c r="F104" s="317"/>
      <c r="G104" s="317">
        <v>0</v>
      </c>
    </row>
    <row r="105" spans="1:7" s="480" customFormat="1" ht="56.45" customHeight="1">
      <c r="A105" s="562" t="s">
        <v>380</v>
      </c>
      <c r="B105" s="561"/>
      <c r="C105" s="560" t="s">
        <v>379</v>
      </c>
      <c r="D105" s="333"/>
      <c r="E105" s="372">
        <v>0</v>
      </c>
      <c r="F105" s="333"/>
      <c r="G105" s="333">
        <v>0</v>
      </c>
    </row>
    <row r="106" spans="1:7">
      <c r="A106" s="557">
        <v>6</v>
      </c>
      <c r="B106" s="555"/>
      <c r="C106" s="555" t="s">
        <v>378</v>
      </c>
      <c r="D106" s="348">
        <f>SUM(D96:D105)</f>
        <v>0</v>
      </c>
      <c r="E106" s="348">
        <f>SUM(E96:E105)</f>
        <v>134966.39999999999</v>
      </c>
      <c r="F106" s="348">
        <f>SUM(F96:F105)</f>
        <v>118271.87759999999</v>
      </c>
      <c r="G106" s="348">
        <f>SUM(G96:G105)</f>
        <v>125533.95000000001</v>
      </c>
    </row>
    <row r="107" spans="1:7">
      <c r="A107" s="770" t="s">
        <v>137</v>
      </c>
      <c r="B107" s="556"/>
      <c r="C107" s="555" t="s">
        <v>4</v>
      </c>
      <c r="D107" s="348">
        <f>(D95-D88)-(D106-D103)</f>
        <v>0</v>
      </c>
      <c r="E107" s="348">
        <f>(E95-E88)-(E106-E103)</f>
        <v>205536.3</v>
      </c>
      <c r="F107" s="348">
        <f>(F95-F88)-(F106-F103)</f>
        <v>208480.79371</v>
      </c>
      <c r="G107" s="348">
        <f>(G95-G88)-(G106-G103)</f>
        <v>210619.04999999996</v>
      </c>
    </row>
    <row r="108" spans="1:7">
      <c r="A108" s="769" t="s">
        <v>136</v>
      </c>
      <c r="B108" s="554"/>
      <c r="C108" s="553" t="s">
        <v>377</v>
      </c>
      <c r="D108" s="348">
        <f>D107-D85-D86+D100+D101</f>
        <v>0</v>
      </c>
      <c r="E108" s="348">
        <f>E107-E85-E86+E100+E101</f>
        <v>206372.3</v>
      </c>
      <c r="F108" s="348">
        <f>F107-F85-F86+F100+F101</f>
        <v>177307.97070999999</v>
      </c>
      <c r="G108" s="348">
        <f>G107-G85-G86+G100+G101</f>
        <v>215070.34999999995</v>
      </c>
    </row>
    <row r="109" spans="1:7">
      <c r="A109" s="762"/>
      <c r="B109" s="534"/>
      <c r="C109" s="533"/>
      <c r="D109" s="260"/>
      <c r="E109" s="260"/>
      <c r="F109" s="260"/>
      <c r="G109" s="260"/>
    </row>
    <row r="110" spans="1:7" s="512" customFormat="1">
      <c r="A110" s="768" t="s">
        <v>376</v>
      </c>
      <c r="B110" s="551"/>
      <c r="C110" s="550"/>
      <c r="D110" s="260"/>
      <c r="E110" s="260"/>
      <c r="F110" s="260"/>
      <c r="G110" s="260"/>
    </row>
    <row r="111" spans="1:7" s="516" customFormat="1">
      <c r="A111" s="761">
        <v>10</v>
      </c>
      <c r="B111" s="531"/>
      <c r="C111" s="531" t="s">
        <v>375</v>
      </c>
      <c r="D111" s="327">
        <f>D112+D117</f>
        <v>0</v>
      </c>
      <c r="E111" s="326">
        <f>E112+E117</f>
        <v>0</v>
      </c>
      <c r="F111" s="327">
        <f>F112+F117</f>
        <v>4677306.85427</v>
      </c>
      <c r="G111" s="326">
        <f>G112+G117</f>
        <v>0</v>
      </c>
    </row>
    <row r="112" spans="1:7" s="516" customFormat="1">
      <c r="A112" s="539" t="s">
        <v>132</v>
      </c>
      <c r="B112" s="519"/>
      <c r="C112" s="519" t="s">
        <v>374</v>
      </c>
      <c r="D112" s="327">
        <f>D113+D114+D115+D116</f>
        <v>0</v>
      </c>
      <c r="E112" s="326">
        <f>E113+E114+E115+E116</f>
        <v>0</v>
      </c>
      <c r="F112" s="327">
        <f>F113+F114+F115+F116</f>
        <v>4172892.5862699999</v>
      </c>
      <c r="G112" s="326">
        <f>G113+G114+G115+G116</f>
        <v>0</v>
      </c>
    </row>
    <row r="113" spans="1:7" s="516" customFormat="1">
      <c r="A113" s="537" t="s">
        <v>130</v>
      </c>
      <c r="B113" s="526"/>
      <c r="C113" s="526" t="s">
        <v>373</v>
      </c>
      <c r="D113" s="317"/>
      <c r="E113" s="316"/>
      <c r="F113" s="317">
        <v>444025.02852999995</v>
      </c>
      <c r="G113" s="316"/>
    </row>
    <row r="114" spans="1:7" s="546" customFormat="1" ht="15" customHeight="1">
      <c r="A114" s="524">
        <v>102</v>
      </c>
      <c r="B114" s="665"/>
      <c r="C114" s="665" t="s">
        <v>372</v>
      </c>
      <c r="D114" s="343"/>
      <c r="E114" s="342"/>
      <c r="F114" s="343">
        <v>70000</v>
      </c>
      <c r="G114" s="342"/>
    </row>
    <row r="115" spans="1:7" s="516" customFormat="1">
      <c r="A115" s="537">
        <v>104</v>
      </c>
      <c r="B115" s="526"/>
      <c r="C115" s="526" t="s">
        <v>371</v>
      </c>
      <c r="D115" s="317"/>
      <c r="E115" s="316"/>
      <c r="F115" s="317">
        <v>3656749.1810900001</v>
      </c>
      <c r="G115" s="316"/>
    </row>
    <row r="116" spans="1:7" s="516" customFormat="1">
      <c r="A116" s="537">
        <v>106</v>
      </c>
      <c r="B116" s="526"/>
      <c r="C116" s="526" t="s">
        <v>370</v>
      </c>
      <c r="D116" s="317"/>
      <c r="E116" s="316"/>
      <c r="F116" s="317">
        <v>2118.3766499999997</v>
      </c>
      <c r="G116" s="316"/>
    </row>
    <row r="117" spans="1:7" s="516" customFormat="1">
      <c r="A117" s="539" t="s">
        <v>125</v>
      </c>
      <c r="B117" s="519"/>
      <c r="C117" s="519" t="s">
        <v>369</v>
      </c>
      <c r="D117" s="327">
        <f>D118+D119+D120</f>
        <v>0</v>
      </c>
      <c r="E117" s="326">
        <f>E118+E119+E120</f>
        <v>0</v>
      </c>
      <c r="F117" s="327">
        <f>F118+F119+F120</f>
        <v>504414.26800000004</v>
      </c>
      <c r="G117" s="326">
        <f>G118+G119+G120</f>
        <v>0</v>
      </c>
    </row>
    <row r="118" spans="1:7" s="516" customFormat="1">
      <c r="A118" s="537">
        <v>107</v>
      </c>
      <c r="B118" s="526"/>
      <c r="C118" s="526" t="s">
        <v>368</v>
      </c>
      <c r="D118" s="317"/>
      <c r="E118" s="316"/>
      <c r="F118" s="317">
        <v>60000</v>
      </c>
      <c r="G118" s="316"/>
    </row>
    <row r="119" spans="1:7" s="516" customFormat="1">
      <c r="A119" s="537">
        <v>108</v>
      </c>
      <c r="B119" s="526"/>
      <c r="C119" s="526" t="s">
        <v>367</v>
      </c>
      <c r="D119" s="317"/>
      <c r="E119" s="316"/>
      <c r="F119" s="317">
        <v>1371.7909999999999</v>
      </c>
      <c r="G119" s="316"/>
    </row>
    <row r="120" spans="1:7" s="538" customFormat="1" ht="25.5">
      <c r="A120" s="524">
        <v>109</v>
      </c>
      <c r="B120" s="523"/>
      <c r="C120" s="523" t="s">
        <v>366</v>
      </c>
      <c r="D120" s="311"/>
      <c r="E120" s="310"/>
      <c r="F120" s="311">
        <v>443042.47700000001</v>
      </c>
      <c r="G120" s="310"/>
    </row>
    <row r="121" spans="1:7" s="516" customFormat="1">
      <c r="A121" s="539">
        <v>14</v>
      </c>
      <c r="B121" s="519"/>
      <c r="C121" s="519" t="s">
        <v>365</v>
      </c>
      <c r="D121" s="327">
        <f>SUM(D122:D130)</f>
        <v>0</v>
      </c>
      <c r="E121" s="327">
        <f>SUM(E122:E130)</f>
        <v>0</v>
      </c>
      <c r="F121" s="327">
        <f>SUM(F122:F130)</f>
        <v>1425265.6524499999</v>
      </c>
      <c r="G121" s="327">
        <f>SUM(G122:G130)</f>
        <v>0</v>
      </c>
    </row>
    <row r="122" spans="1:7" s="516" customFormat="1">
      <c r="A122" s="537" t="s">
        <v>119</v>
      </c>
      <c r="B122" s="526"/>
      <c r="C122" s="526" t="s">
        <v>364</v>
      </c>
      <c r="D122" s="317"/>
      <c r="E122" s="316"/>
      <c r="F122" s="317">
        <v>794855.00100000005</v>
      </c>
      <c r="G122" s="316"/>
    </row>
    <row r="123" spans="1:7" s="516" customFormat="1">
      <c r="A123" s="537">
        <v>144</v>
      </c>
      <c r="B123" s="526"/>
      <c r="C123" s="526" t="s">
        <v>363</v>
      </c>
      <c r="D123" s="317"/>
      <c r="E123" s="316"/>
      <c r="F123" s="317">
        <v>87546.112450000001</v>
      </c>
      <c r="G123" s="316"/>
    </row>
    <row r="124" spans="1:7" s="516" customFormat="1">
      <c r="A124" s="537">
        <v>145</v>
      </c>
      <c r="B124" s="526"/>
      <c r="C124" s="526" t="s">
        <v>362</v>
      </c>
      <c r="D124" s="317"/>
      <c r="E124" s="304"/>
      <c r="F124" s="317">
        <v>325817.53899999999</v>
      </c>
      <c r="G124" s="304"/>
    </row>
    <row r="125" spans="1:7" s="516" customFormat="1">
      <c r="A125" s="537">
        <v>146</v>
      </c>
      <c r="B125" s="526"/>
      <c r="C125" s="526" t="s">
        <v>361</v>
      </c>
      <c r="D125" s="317"/>
      <c r="E125" s="304"/>
      <c r="F125" s="317">
        <v>217047</v>
      </c>
      <c r="G125" s="304"/>
    </row>
    <row r="126" spans="1:7" s="538" customFormat="1" ht="29.45" customHeight="1">
      <c r="A126" s="524" t="s">
        <v>114</v>
      </c>
      <c r="B126" s="523"/>
      <c r="C126" s="523" t="s">
        <v>360</v>
      </c>
      <c r="D126" s="311"/>
      <c r="E126" s="339"/>
      <c r="F126" s="311">
        <v>0</v>
      </c>
      <c r="G126" s="339"/>
    </row>
    <row r="127" spans="1:7" s="516" customFormat="1">
      <c r="A127" s="537">
        <v>1484</v>
      </c>
      <c r="B127" s="526"/>
      <c r="C127" s="526" t="s">
        <v>359</v>
      </c>
      <c r="D127" s="317"/>
      <c r="E127" s="304"/>
      <c r="F127" s="317">
        <v>0</v>
      </c>
      <c r="G127" s="304"/>
    </row>
    <row r="128" spans="1:7" s="538" customFormat="1">
      <c r="A128" s="524">
        <v>1485</v>
      </c>
      <c r="B128" s="523"/>
      <c r="C128" s="523" t="s">
        <v>358</v>
      </c>
      <c r="D128" s="311"/>
      <c r="E128" s="339"/>
      <c r="F128" s="311">
        <v>0</v>
      </c>
      <c r="G128" s="339"/>
    </row>
    <row r="129" spans="1:7" s="538" customFormat="1" ht="25.5">
      <c r="A129" s="524">
        <v>1486</v>
      </c>
      <c r="B129" s="523"/>
      <c r="C129" s="523" t="s">
        <v>357</v>
      </c>
      <c r="D129" s="311"/>
      <c r="E129" s="339"/>
      <c r="F129" s="311">
        <v>0</v>
      </c>
      <c r="G129" s="339"/>
    </row>
    <row r="130" spans="1:7" s="538" customFormat="1">
      <c r="A130" s="767">
        <v>1489</v>
      </c>
      <c r="B130" s="766"/>
      <c r="C130" s="766" t="s">
        <v>356</v>
      </c>
      <c r="D130" s="764"/>
      <c r="E130" s="763"/>
      <c r="F130" s="764">
        <v>0</v>
      </c>
      <c r="G130" s="763"/>
    </row>
    <row r="131" spans="1:7" s="512" customFormat="1">
      <c r="A131" s="760">
        <v>1</v>
      </c>
      <c r="B131" s="514"/>
      <c r="C131" s="515" t="s">
        <v>355</v>
      </c>
      <c r="D131" s="295">
        <f>D111+D121</f>
        <v>0</v>
      </c>
      <c r="E131" s="295">
        <f>E111+E121</f>
        <v>0</v>
      </c>
      <c r="F131" s="295">
        <f>F111+F121</f>
        <v>6102572.5067199999</v>
      </c>
      <c r="G131" s="295">
        <f>G111+G121</f>
        <v>0</v>
      </c>
    </row>
    <row r="132" spans="1:7" s="512" customFormat="1">
      <c r="A132" s="762"/>
      <c r="B132" s="534"/>
      <c r="C132" s="533"/>
      <c r="D132" s="260"/>
      <c r="E132" s="260"/>
      <c r="F132" s="260"/>
      <c r="G132" s="260"/>
    </row>
    <row r="133" spans="1:7" s="516" customFormat="1">
      <c r="A133" s="761">
        <v>20</v>
      </c>
      <c r="B133" s="531"/>
      <c r="C133" s="531" t="s">
        <v>354</v>
      </c>
      <c r="D133" s="329">
        <f>D134+D140</f>
        <v>0</v>
      </c>
      <c r="E133" s="530">
        <f>E134+E140</f>
        <v>0</v>
      </c>
      <c r="F133" s="329">
        <f>F134+F140</f>
        <v>6450349.7747400003</v>
      </c>
      <c r="G133" s="530">
        <f>G134+G140</f>
        <v>0</v>
      </c>
    </row>
    <row r="134" spans="1:7" s="516" customFormat="1">
      <c r="A134" s="520" t="s">
        <v>106</v>
      </c>
      <c r="B134" s="519"/>
      <c r="C134" s="519" t="s">
        <v>353</v>
      </c>
      <c r="D134" s="327">
        <f>D135+D136+D138+D139</f>
        <v>0</v>
      </c>
      <c r="E134" s="326">
        <f>E135+E136+E138+E139</f>
        <v>0</v>
      </c>
      <c r="F134" s="327">
        <f>F135+F136+F138+F139</f>
        <v>3700932.45995</v>
      </c>
      <c r="G134" s="326">
        <f>G135+G136+G138+G139</f>
        <v>0</v>
      </c>
    </row>
    <row r="135" spans="1:7" s="525" customFormat="1">
      <c r="A135" s="527">
        <v>200</v>
      </c>
      <c r="B135" s="526"/>
      <c r="C135" s="526" t="s">
        <v>352</v>
      </c>
      <c r="D135" s="317"/>
      <c r="E135" s="316"/>
      <c r="F135" s="317">
        <v>2342315.06171</v>
      </c>
      <c r="G135" s="316"/>
    </row>
    <row r="136" spans="1:7" s="525" customFormat="1">
      <c r="A136" s="527">
        <v>201</v>
      </c>
      <c r="B136" s="526"/>
      <c r="C136" s="526" t="s">
        <v>351</v>
      </c>
      <c r="D136" s="317"/>
      <c r="E136" s="316"/>
      <c r="F136" s="317">
        <v>349954.10525000002</v>
      </c>
      <c r="G136" s="316"/>
    </row>
    <row r="137" spans="1:7" s="525" customFormat="1">
      <c r="A137" s="529" t="s">
        <v>350</v>
      </c>
      <c r="B137" s="528"/>
      <c r="C137" s="528" t="s">
        <v>349</v>
      </c>
      <c r="D137" s="322"/>
      <c r="E137" s="328"/>
      <c r="F137" s="322"/>
      <c r="G137" s="328"/>
    </row>
    <row r="138" spans="1:7" s="525" customFormat="1">
      <c r="A138" s="527">
        <v>204</v>
      </c>
      <c r="B138" s="526"/>
      <c r="C138" s="526" t="s">
        <v>348</v>
      </c>
      <c r="D138" s="317"/>
      <c r="E138" s="304"/>
      <c r="F138" s="317">
        <v>985418.73449000006</v>
      </c>
      <c r="G138" s="304"/>
    </row>
    <row r="139" spans="1:7" s="525" customFormat="1">
      <c r="A139" s="527">
        <v>205</v>
      </c>
      <c r="B139" s="526"/>
      <c r="C139" s="526" t="s">
        <v>347</v>
      </c>
      <c r="D139" s="317"/>
      <c r="E139" s="304"/>
      <c r="F139" s="317">
        <v>23244.558499999999</v>
      </c>
      <c r="G139" s="304"/>
    </row>
    <row r="140" spans="1:7" s="525" customFormat="1">
      <c r="A140" s="520" t="s">
        <v>98</v>
      </c>
      <c r="B140" s="519"/>
      <c r="C140" s="519" t="s">
        <v>346</v>
      </c>
      <c r="D140" s="327">
        <f>D141+D143+D144</f>
        <v>0</v>
      </c>
      <c r="E140" s="326">
        <f>E141+E143+E144</f>
        <v>0</v>
      </c>
      <c r="F140" s="327">
        <f>F141+F143+F144</f>
        <v>2749417.3147900002</v>
      </c>
      <c r="G140" s="326">
        <f>G141+G143+G144</f>
        <v>0</v>
      </c>
    </row>
    <row r="141" spans="1:7" s="525" customFormat="1">
      <c r="A141" s="527">
        <v>206</v>
      </c>
      <c r="B141" s="526"/>
      <c r="C141" s="526" t="s">
        <v>345</v>
      </c>
      <c r="D141" s="317"/>
      <c r="E141" s="304"/>
      <c r="F141" s="317">
        <v>2599343.5010000002</v>
      </c>
      <c r="G141" s="304"/>
    </row>
    <row r="142" spans="1:7" s="525" customFormat="1">
      <c r="A142" s="529" t="s">
        <v>344</v>
      </c>
      <c r="B142" s="528"/>
      <c r="C142" s="528" t="s">
        <v>343</v>
      </c>
      <c r="D142" s="322"/>
      <c r="E142" s="328"/>
      <c r="F142" s="322"/>
      <c r="G142" s="328"/>
    </row>
    <row r="143" spans="1:7" s="525" customFormat="1">
      <c r="A143" s="527">
        <v>208</v>
      </c>
      <c r="B143" s="526"/>
      <c r="C143" s="526" t="s">
        <v>342</v>
      </c>
      <c r="D143" s="317"/>
      <c r="E143" s="304"/>
      <c r="F143" s="317">
        <v>67568.000069999995</v>
      </c>
      <c r="G143" s="304"/>
    </row>
    <row r="144" spans="1:7" s="521" customFormat="1" ht="25.5">
      <c r="A144" s="524">
        <v>209</v>
      </c>
      <c r="B144" s="523"/>
      <c r="C144" s="523" t="s">
        <v>341</v>
      </c>
      <c r="D144" s="311"/>
      <c r="E144" s="339"/>
      <c r="F144" s="311">
        <v>82505.813720000006</v>
      </c>
      <c r="G144" s="339"/>
    </row>
    <row r="145" spans="1:7" s="516" customFormat="1">
      <c r="A145" s="520">
        <v>29</v>
      </c>
      <c r="B145" s="519"/>
      <c r="C145" s="519" t="s">
        <v>340</v>
      </c>
      <c r="D145" s="305"/>
      <c r="E145" s="304"/>
      <c r="F145" s="305">
        <v>-347777.26801999996</v>
      </c>
      <c r="G145" s="304"/>
    </row>
    <row r="146" spans="1:7" s="516" customFormat="1">
      <c r="A146" s="518" t="s">
        <v>339</v>
      </c>
      <c r="B146" s="517"/>
      <c r="C146" s="517" t="s">
        <v>338</v>
      </c>
      <c r="D146" s="300"/>
      <c r="E146" s="299"/>
      <c r="F146" s="300"/>
      <c r="G146" s="299"/>
    </row>
    <row r="147" spans="1:7" s="512" customFormat="1">
      <c r="A147" s="760">
        <v>2</v>
      </c>
      <c r="B147" s="514"/>
      <c r="C147" s="515" t="s">
        <v>337</v>
      </c>
      <c r="D147" s="295">
        <f>D133+D145</f>
        <v>0</v>
      </c>
      <c r="E147" s="295">
        <f>E133+E145</f>
        <v>0</v>
      </c>
      <c r="F147" s="295">
        <f>F133+F145</f>
        <v>6102572.5067199999</v>
      </c>
      <c r="G147" s="295">
        <f>G133+G145</f>
        <v>0</v>
      </c>
    </row>
    <row r="148" spans="1:7" ht="7.5" customHeight="1">
      <c r="D148" s="512"/>
      <c r="F148" s="512"/>
    </row>
    <row r="149" spans="1:7" ht="13.5" customHeight="1">
      <c r="A149" s="759" t="s">
        <v>336</v>
      </c>
      <c r="B149" s="509"/>
      <c r="C149" s="664"/>
      <c r="D149" s="509"/>
      <c r="E149" s="509"/>
      <c r="F149" s="509"/>
      <c r="G149" s="509"/>
    </row>
    <row r="150" spans="1:7">
      <c r="A150" s="657" t="s">
        <v>335</v>
      </c>
      <c r="B150" s="657"/>
      <c r="C150" s="657" t="s">
        <v>334</v>
      </c>
      <c r="D150" s="268">
        <f>D77+SUM(D8:D12)-D30-D31+D16-D33+D59+D63-D73+D64-D74-D54+D20-D35</f>
        <v>0</v>
      </c>
      <c r="E150" s="268">
        <f>E77+SUM(E8:E12)-E30-E31+E16-E33+E59+E63-E73+E64-E74-E54+E20-E35</f>
        <v>44050.639999999432</v>
      </c>
      <c r="F150" s="268">
        <f>F77+SUM(F8:F12)-F30-F31+F16-F33+F59+F63-F73+F64-F74-F54+F20-F35</f>
        <v>57501.921969999094</v>
      </c>
      <c r="G150" s="268">
        <f>G77+SUM(G8:G12)-G30-G31+G16-G33+G59+G63-G73+G64-G74-G54+G20-G35</f>
        <v>83256.299999999464</v>
      </c>
    </row>
    <row r="151" spans="1:7">
      <c r="A151" s="653" t="s">
        <v>333</v>
      </c>
      <c r="B151" s="653"/>
      <c r="C151" s="653" t="s">
        <v>332</v>
      </c>
      <c r="D151" s="269">
        <f>IF(D177=0,0,D150/D177)</f>
        <v>0</v>
      </c>
      <c r="E151" s="269">
        <f>IF(E177=0,0,E150/E177)</f>
        <v>1.4443610847626787E-2</v>
      </c>
      <c r="F151" s="269">
        <f>IF(F177=0,0,F150/F177)</f>
        <v>1.8512605126924563E-2</v>
      </c>
      <c r="G151" s="269">
        <f>IF(G177=0,0,G150/G177)</f>
        <v>2.6545252396515975E-2</v>
      </c>
    </row>
    <row r="152" spans="1:7" s="504" customFormat="1" ht="25.5">
      <c r="A152" s="663" t="s">
        <v>330</v>
      </c>
      <c r="B152" s="663"/>
      <c r="C152" s="663" t="s">
        <v>331</v>
      </c>
      <c r="D152" s="274">
        <f>IF(D107=0,0,D150/D107)</f>
        <v>0</v>
      </c>
      <c r="E152" s="274">
        <f>IF(E107=0,0,E150/E107)</f>
        <v>0.21432048742727894</v>
      </c>
      <c r="F152" s="274">
        <f>IF(F107=0,0,F150/F107)</f>
        <v>0.27581400160047909</v>
      </c>
      <c r="G152" s="274">
        <f>IF(G107=0,0,G150/G107)</f>
        <v>0.39529330324108614</v>
      </c>
    </row>
    <row r="153" spans="1:7" s="504" customFormat="1" ht="25.5">
      <c r="A153" s="662" t="s">
        <v>330</v>
      </c>
      <c r="B153" s="662"/>
      <c r="C153" s="662" t="s">
        <v>329</v>
      </c>
      <c r="D153" s="758">
        <f>IF(0=D108,0,D150/D108)</f>
        <v>0</v>
      </c>
      <c r="E153" s="758">
        <f>IF(0=E108,0,E150/E108)</f>
        <v>0.21345228986641829</v>
      </c>
      <c r="F153" s="758">
        <f>IF(0=F108,0,F150/F108)</f>
        <v>0.32430534137716599</v>
      </c>
      <c r="G153" s="758">
        <f>IF(0=G108,0,G150/G108)</f>
        <v>0.38711193802399768</v>
      </c>
    </row>
    <row r="154" spans="1:7" s="504" customFormat="1" ht="25.5">
      <c r="A154" s="661" t="s">
        <v>328</v>
      </c>
      <c r="B154" s="661"/>
      <c r="C154" s="661" t="s">
        <v>327</v>
      </c>
      <c r="D154" s="282">
        <f>D150-D107</f>
        <v>0</v>
      </c>
      <c r="E154" s="282">
        <f>E150-E107</f>
        <v>-161485.66000000056</v>
      </c>
      <c r="F154" s="282">
        <f>F150-F107</f>
        <v>-150978.8717400009</v>
      </c>
      <c r="G154" s="282">
        <f>G150-G107</f>
        <v>-127362.75000000049</v>
      </c>
    </row>
    <row r="155" spans="1:7" ht="27.6" customHeight="1">
      <c r="A155" s="659" t="s">
        <v>326</v>
      </c>
      <c r="B155" s="659"/>
      <c r="C155" s="659" t="s">
        <v>325</v>
      </c>
      <c r="D155" s="279">
        <f>D150-D108</f>
        <v>0</v>
      </c>
      <c r="E155" s="279">
        <f>E150-E108</f>
        <v>-162321.66000000056</v>
      </c>
      <c r="F155" s="279">
        <f>F150-F108</f>
        <v>-119806.0487400009</v>
      </c>
      <c r="G155" s="279">
        <f>G150-G108</f>
        <v>-131814.05000000048</v>
      </c>
    </row>
    <row r="156" spans="1:7">
      <c r="A156" s="657" t="s">
        <v>324</v>
      </c>
      <c r="B156" s="657"/>
      <c r="C156" s="657" t="s">
        <v>323</v>
      </c>
      <c r="D156" s="277">
        <f>D135+D136-D137+D141-D142</f>
        <v>0</v>
      </c>
      <c r="E156" s="277">
        <f>E135+E136-E137+E141-E142</f>
        <v>0</v>
      </c>
      <c r="F156" s="277">
        <f>F135+F136-F137+F141-F142</f>
        <v>5291612.6679600002</v>
      </c>
      <c r="G156" s="277">
        <f>G135+G136-G137+G141-G142</f>
        <v>0</v>
      </c>
    </row>
    <row r="157" spans="1:7">
      <c r="A157" s="655" t="s">
        <v>322</v>
      </c>
      <c r="B157" s="655"/>
      <c r="C157" s="655" t="s">
        <v>321</v>
      </c>
      <c r="D157" s="273">
        <f>IF(D177=0,0,D156/D177)</f>
        <v>0</v>
      </c>
      <c r="E157" s="273">
        <f>IF(E177=0,0,E156/E177)</f>
        <v>0</v>
      </c>
      <c r="F157" s="273">
        <f>IF(F177=0,0,F156/F177)</f>
        <v>1.7036219390664102</v>
      </c>
      <c r="G157" s="273">
        <f>IF(G177=0,0,G156/G177)</f>
        <v>0</v>
      </c>
    </row>
    <row r="158" spans="1:7">
      <c r="A158" s="657" t="s">
        <v>320</v>
      </c>
      <c r="B158" s="657"/>
      <c r="C158" s="657" t="s">
        <v>319</v>
      </c>
      <c r="D158" s="277">
        <f>D133-D142-D111</f>
        <v>0</v>
      </c>
      <c r="E158" s="277">
        <f>E133-E142-E111</f>
        <v>0</v>
      </c>
      <c r="F158" s="277">
        <f>F133-F142-F111</f>
        <v>1773042.9204700002</v>
      </c>
      <c r="G158" s="277">
        <f>G133-G142-G111</f>
        <v>0</v>
      </c>
    </row>
    <row r="159" spans="1:7">
      <c r="A159" s="653" t="s">
        <v>318</v>
      </c>
      <c r="B159" s="653"/>
      <c r="C159" s="653" t="s">
        <v>317</v>
      </c>
      <c r="D159" s="265">
        <f>D121-D123-D124-D142-D145</f>
        <v>0</v>
      </c>
      <c r="E159" s="265">
        <f>E121-E123-E124-E142-E145</f>
        <v>0</v>
      </c>
      <c r="F159" s="265">
        <f>F121-F123-F124-F142-F145</f>
        <v>1359679.26902</v>
      </c>
      <c r="G159" s="265">
        <f>G121-G123-G124-G142-G145</f>
        <v>0</v>
      </c>
    </row>
    <row r="160" spans="1:7">
      <c r="A160" s="653" t="s">
        <v>315</v>
      </c>
      <c r="B160" s="653"/>
      <c r="C160" s="653" t="s">
        <v>316</v>
      </c>
      <c r="D160" s="276" t="str">
        <f>IF(D175=0,"-",1000*D158/D175)</f>
        <v>-</v>
      </c>
      <c r="E160" s="276">
        <f>IF(E175=0,"-",1000*E158/E175)</f>
        <v>0</v>
      </c>
      <c r="F160" s="276">
        <f>IF(F175=0,"-",1000*F158/F175)</f>
        <v>5116.4311101203621</v>
      </c>
      <c r="G160" s="276">
        <f>IF(G175=0,"-",1000*G158/G175)</f>
        <v>0</v>
      </c>
    </row>
    <row r="161" spans="1:7">
      <c r="A161" s="653" t="s">
        <v>315</v>
      </c>
      <c r="B161" s="653"/>
      <c r="C161" s="653" t="s">
        <v>314</v>
      </c>
      <c r="D161" s="265">
        <f>IF(D175=0,0,1000*(D159/D175))</f>
        <v>0</v>
      </c>
      <c r="E161" s="265">
        <f>IF(E175=0,0,1000*(E159/E175))</f>
        <v>0</v>
      </c>
      <c r="F161" s="265">
        <f>IF(F175=0,0,1000*(F159/F175))</f>
        <v>3923.5966774879594</v>
      </c>
      <c r="G161" s="265">
        <f>IF(G175=0,0,1000*(G159/G175))</f>
        <v>0</v>
      </c>
    </row>
    <row r="162" spans="1:7">
      <c r="A162" s="655" t="s">
        <v>313</v>
      </c>
      <c r="B162" s="655"/>
      <c r="C162" s="655" t="s">
        <v>312</v>
      </c>
      <c r="D162" s="273">
        <f>IF((D22+D23+D65+D66)=0,0,D158/(D22+D23+D65+D66))</f>
        <v>0</v>
      </c>
      <c r="E162" s="273">
        <f>IF((E22+E23+E65+E66)=0,0,E158/(E22+E23+E65+E66))</f>
        <v>0</v>
      </c>
      <c r="F162" s="273">
        <f>IF((F22+F23+F65+F66)=0,0,F158/(F22+F23+F65+F66))</f>
        <v>0.97227059095524826</v>
      </c>
      <c r="G162" s="273">
        <f>IF((G22+G23+G65+G66)=0,0,G158/(G22+G23+G65+G66))</f>
        <v>0</v>
      </c>
    </row>
    <row r="163" spans="1:7">
      <c r="A163" s="653" t="s">
        <v>311</v>
      </c>
      <c r="B163" s="653"/>
      <c r="C163" s="653" t="s">
        <v>310</v>
      </c>
      <c r="D163" s="268">
        <f>D145</f>
        <v>0</v>
      </c>
      <c r="E163" s="268">
        <f>E145</f>
        <v>0</v>
      </c>
      <c r="F163" s="268">
        <f>F145</f>
        <v>-347777.26801999996</v>
      </c>
      <c r="G163" s="268">
        <f>G145</f>
        <v>0</v>
      </c>
    </row>
    <row r="164" spans="1:7" ht="25.5">
      <c r="A164" s="663" t="s">
        <v>309</v>
      </c>
      <c r="B164" s="655"/>
      <c r="C164" s="655" t="s">
        <v>308</v>
      </c>
      <c r="D164" s="274">
        <f>IF(D178=0,0,D146/D178)</f>
        <v>0</v>
      </c>
      <c r="E164" s="274">
        <f>IF(E178=0,0,E146/E178)</f>
        <v>0</v>
      </c>
      <c r="F164" s="274">
        <f>IF(F178=0,0,F146/F178)</f>
        <v>0</v>
      </c>
      <c r="G164" s="274">
        <f>IF(G178=0,0,G146/G178)</f>
        <v>0</v>
      </c>
    </row>
    <row r="165" spans="1:7">
      <c r="A165" s="651" t="s">
        <v>307</v>
      </c>
      <c r="B165" s="651"/>
      <c r="C165" s="651" t="s">
        <v>306</v>
      </c>
      <c r="D165" s="262">
        <f>IF(D177=0,0,D180/D177)</f>
        <v>0</v>
      </c>
      <c r="E165" s="262">
        <f>IF(E177=0,0,E180/E177)</f>
        <v>6.7862606500409192E-2</v>
      </c>
      <c r="F165" s="262">
        <f>IF(F177=0,0,F180/F177)</f>
        <v>6.2396964871409964E-2</v>
      </c>
      <c r="G165" s="262">
        <f>IF(G177=0,0,G180/G177)</f>
        <v>6.6244740153361292E-2</v>
      </c>
    </row>
    <row r="166" spans="1:7">
      <c r="A166" s="653" t="s">
        <v>305</v>
      </c>
      <c r="B166" s="653"/>
      <c r="C166" s="653" t="s">
        <v>304</v>
      </c>
      <c r="D166" s="268">
        <f>D55</f>
        <v>0</v>
      </c>
      <c r="E166" s="268">
        <f>E55</f>
        <v>19346.250000000007</v>
      </c>
      <c r="F166" s="268">
        <f>F55</f>
        <v>22126.298029999991</v>
      </c>
      <c r="G166" s="268">
        <f>G55</f>
        <v>16639.410000000003</v>
      </c>
    </row>
    <row r="167" spans="1:7" s="504" customFormat="1" ht="25.5">
      <c r="A167" s="663" t="s">
        <v>303</v>
      </c>
      <c r="B167" s="655"/>
      <c r="C167" s="655" t="s">
        <v>302</v>
      </c>
      <c r="D167" s="274">
        <f>IF(0=D111,0,(D44+D45+D46+D47+D48)/D111)</f>
        <v>0</v>
      </c>
      <c r="E167" s="274">
        <f>IF(0=E111,0,(E44+E45+E46+E47+E48)/E111)</f>
        <v>0</v>
      </c>
      <c r="F167" s="274">
        <f>IF(0=F111,0,(F44+F45+F46+F47+F48)/F111)</f>
        <v>1.6972927044015857E-3</v>
      </c>
      <c r="G167" s="274">
        <f>IF(0=G111,0,(G44+G45+G46+G47+G48)/G111)</f>
        <v>0</v>
      </c>
    </row>
    <row r="168" spans="1:7">
      <c r="A168" s="653" t="s">
        <v>301</v>
      </c>
      <c r="B168" s="657"/>
      <c r="C168" s="657" t="s">
        <v>300</v>
      </c>
      <c r="D168" s="268">
        <f>D38-D44</f>
        <v>0</v>
      </c>
      <c r="E168" s="268">
        <f>E38-E44</f>
        <v>30069.8</v>
      </c>
      <c r="F168" s="268">
        <f>F38-F44</f>
        <v>27767.721250000002</v>
      </c>
      <c r="G168" s="268">
        <f>G38-G44</f>
        <v>27989.43</v>
      </c>
    </row>
    <row r="169" spans="1:7">
      <c r="A169" s="655" t="s">
        <v>299</v>
      </c>
      <c r="B169" s="655"/>
      <c r="C169" s="655" t="s">
        <v>298</v>
      </c>
      <c r="D169" s="269">
        <f>IF(D177=0,0,D168/D177)</f>
        <v>0</v>
      </c>
      <c r="E169" s="269">
        <f>IF(E177=0,0,E168/E177)</f>
        <v>9.8594819386500065E-3</v>
      </c>
      <c r="F169" s="269">
        <f>IF(F177=0,0,F168/F177)</f>
        <v>8.939750901612694E-3</v>
      </c>
      <c r="G169" s="269">
        <f>IF(G177=0,0,G168/G177)</f>
        <v>8.9240872316523907E-3</v>
      </c>
    </row>
    <row r="170" spans="1:7">
      <c r="A170" s="653" t="s">
        <v>297</v>
      </c>
      <c r="B170" s="653"/>
      <c r="C170" s="653" t="s">
        <v>296</v>
      </c>
      <c r="D170" s="268">
        <f>SUM(D82:D87)+SUM(D89:D94)</f>
        <v>0</v>
      </c>
      <c r="E170" s="268">
        <f>SUM(E82:E87)+SUM(E89:E94)</f>
        <v>288791.3</v>
      </c>
      <c r="F170" s="268">
        <f>SUM(F82:F87)+SUM(F89:F94)</f>
        <v>281181.65521</v>
      </c>
      <c r="G170" s="268">
        <f>SUM(G82:G87)+SUM(G89:G94)</f>
        <v>290210.09999999998</v>
      </c>
    </row>
    <row r="171" spans="1:7">
      <c r="A171" s="653" t="s">
        <v>295</v>
      </c>
      <c r="B171" s="653"/>
      <c r="C171" s="653" t="s">
        <v>294</v>
      </c>
      <c r="D171" s="265">
        <f>SUM(D96:D102)+SUM(D104:D105)</f>
        <v>0</v>
      </c>
      <c r="E171" s="265">
        <f>SUM(E96:E102)+SUM(E104:E105)</f>
        <v>83255</v>
      </c>
      <c r="F171" s="265">
        <f>SUM(F96:F102)+SUM(F104:F105)</f>
        <v>72700.861499999999</v>
      </c>
      <c r="G171" s="265">
        <f>SUM(G96:G102)+SUM(G104:G105)</f>
        <v>79591.05</v>
      </c>
    </row>
    <row r="172" spans="1:7">
      <c r="A172" s="651" t="s">
        <v>293</v>
      </c>
      <c r="B172" s="651"/>
      <c r="C172" s="651" t="s">
        <v>292</v>
      </c>
      <c r="D172" s="262">
        <f>IF(D184=0,0,D170/D184)</f>
        <v>0</v>
      </c>
      <c r="E172" s="262">
        <f>IF(E184=0,0,E170/E184)</f>
        <v>8.7817657027186302E-2</v>
      </c>
      <c r="F172" s="262">
        <f>IF(F184=0,0,F170/F184)</f>
        <v>8.4697902050965224E-2</v>
      </c>
      <c r="G172" s="262">
        <f>IF(G184=0,0,G170/G184)</f>
        <v>8.699518532580551E-2</v>
      </c>
    </row>
    <row r="174" spans="1:7">
      <c r="A174" s="788" t="s">
        <v>291</v>
      </c>
      <c r="B174" s="534"/>
      <c r="C174" s="533"/>
      <c r="D174" s="257"/>
      <c r="E174" s="257"/>
      <c r="F174" s="258"/>
      <c r="G174" s="258"/>
    </row>
    <row r="175" spans="1:7" s="480" customFormat="1">
      <c r="A175" s="762" t="s">
        <v>290</v>
      </c>
      <c r="B175" s="534"/>
      <c r="C175" s="534" t="s">
        <v>289</v>
      </c>
      <c r="D175" s="257"/>
      <c r="E175" s="257">
        <v>346472</v>
      </c>
      <c r="F175" s="257">
        <v>346539</v>
      </c>
      <c r="G175" s="257">
        <v>346539</v>
      </c>
    </row>
    <row r="176" spans="1:7">
      <c r="A176" s="479" t="s">
        <v>288</v>
      </c>
      <c r="B176" s="477"/>
      <c r="C176" s="477"/>
      <c r="D176" s="477"/>
      <c r="E176" s="477"/>
      <c r="F176" s="477"/>
      <c r="G176" s="477"/>
    </row>
    <row r="177" spans="1:7">
      <c r="A177" s="478" t="s">
        <v>287</v>
      </c>
      <c r="B177" s="477"/>
      <c r="C177" s="477" t="s">
        <v>286</v>
      </c>
      <c r="D177" s="475">
        <f>SUM(D22:D32)+SUM(D44:D53)+SUM(D65:D72)+D75</f>
        <v>0</v>
      </c>
      <c r="E177" s="475">
        <f>SUM(E22:E32)+SUM(E44:E53)+SUM(E65:E72)+E75</f>
        <v>3049835.6999999997</v>
      </c>
      <c r="F177" s="475">
        <f>SUM(F22:F32)+SUM(F44:F53)+SUM(F65:F72)+F75</f>
        <v>3106095.6346100001</v>
      </c>
      <c r="G177" s="475">
        <f>SUM(G22:G32)+SUM(G44:G53)+SUM(G65:G72)+G75</f>
        <v>3136391.3499999996</v>
      </c>
    </row>
    <row r="178" spans="1:7">
      <c r="A178" s="478" t="s">
        <v>285</v>
      </c>
      <c r="B178" s="477"/>
      <c r="C178" s="477" t="s">
        <v>284</v>
      </c>
      <c r="D178" s="475">
        <f>D78-D17-D20-D59-D63-D64</f>
        <v>0</v>
      </c>
      <c r="E178" s="475">
        <f>E78-E17-E20-E59-E63-E64</f>
        <v>3199898.8000000003</v>
      </c>
      <c r="F178" s="475">
        <f>F78-F17-F20-F59-F63-F64</f>
        <v>3236058.1985000009</v>
      </c>
      <c r="G178" s="475">
        <f>G78-G17-G20-G59-G63-G64</f>
        <v>3256818.04</v>
      </c>
    </row>
    <row r="179" spans="1:7">
      <c r="A179" s="478"/>
      <c r="B179" s="477"/>
      <c r="C179" s="477" t="s">
        <v>283</v>
      </c>
      <c r="D179" s="475">
        <f>D178+D170</f>
        <v>0</v>
      </c>
      <c r="E179" s="475">
        <f>E178+E170</f>
        <v>3488690.1</v>
      </c>
      <c r="F179" s="475">
        <f>F178+F170</f>
        <v>3517239.8537100009</v>
      </c>
      <c r="G179" s="475">
        <f>G178+G170</f>
        <v>3547028.14</v>
      </c>
    </row>
    <row r="180" spans="1:7">
      <c r="A180" s="477" t="s">
        <v>282</v>
      </c>
      <c r="B180" s="477"/>
      <c r="C180" s="477" t="s">
        <v>281</v>
      </c>
      <c r="D180" s="475">
        <f>D38-D44+D8+D9+D10+D16-D33</f>
        <v>0</v>
      </c>
      <c r="E180" s="475">
        <f>E38-E44+E8+E9+E10+E16-E33</f>
        <v>206969.8</v>
      </c>
      <c r="F180" s="475">
        <f>F38-F44+F8+F9+F10+F16-F33</f>
        <v>193810.94020000001</v>
      </c>
      <c r="G180" s="475">
        <f>G38-G44+G8+G9+G10+G16-G33</f>
        <v>207769.43</v>
      </c>
    </row>
    <row r="181" spans="1:7" ht="27.6" customHeight="1">
      <c r="A181" s="474" t="s">
        <v>280</v>
      </c>
      <c r="B181" s="472"/>
      <c r="C181" s="472" t="s">
        <v>279</v>
      </c>
      <c r="D181" s="249">
        <f>D22+D23+D24+D25+D26+D29+SUM(D44:D47)+SUM(D49:D53)-D54+D32-D33+SUM(D65:D70)+D72</f>
        <v>0</v>
      </c>
      <c r="E181" s="249">
        <f>E22+E23+E24+E25+E26+E29+SUM(E44:E47)+SUM(E49:E53)-E54+E32-E33+SUM(E65:E70)+E72</f>
        <v>3043419.3</v>
      </c>
      <c r="F181" s="249">
        <f>F22+F23+F24+F25+F26+F29+SUM(F44:F47)+SUM(F49:F53)-F54+F32-F33+SUM(F65:F70)+F72</f>
        <v>3095914.0712899994</v>
      </c>
      <c r="G181" s="249">
        <f>G22+G23+G24+G25+G26+G29+SUM(G44:G47)+SUM(G49:G53)-G54+G32-G33+SUM(G65:G70)+G72</f>
        <v>3128656.4899999993</v>
      </c>
    </row>
    <row r="182" spans="1:7">
      <c r="A182" s="473" t="s">
        <v>278</v>
      </c>
      <c r="B182" s="472"/>
      <c r="C182" s="472" t="s">
        <v>277</v>
      </c>
      <c r="D182" s="249">
        <f>D181+D171</f>
        <v>0</v>
      </c>
      <c r="E182" s="249">
        <f>E181+E171</f>
        <v>3126674.3</v>
      </c>
      <c r="F182" s="249">
        <f>F181+F171</f>
        <v>3168614.9327899995</v>
      </c>
      <c r="G182" s="249">
        <f>G181+G171</f>
        <v>3208247.5399999991</v>
      </c>
    </row>
    <row r="183" spans="1:7">
      <c r="A183" s="473" t="s">
        <v>276</v>
      </c>
      <c r="B183" s="472"/>
      <c r="C183" s="472" t="s">
        <v>275</v>
      </c>
      <c r="D183" s="249">
        <f>D4+D5-D7+D38+D39+D40+D41+D43+D13-D16+D57+D58+D60+D62</f>
        <v>0</v>
      </c>
      <c r="E183" s="249">
        <f>E4+E5-E7+E38+E39+E40+E41+E43+E13-E16+E57+E58+E60+E62</f>
        <v>2999742.12</v>
      </c>
      <c r="F183" s="249">
        <f>F4+F5-F7+F38+F39+F40+F41+F43+F13-F16+F57+F58+F60+F62</f>
        <v>3038636.7629700005</v>
      </c>
      <c r="G183" s="249">
        <f>G4+G5-G7+G38+G39+G40+G41+G43+G13-G16+G57+G58+G60+G62</f>
        <v>3045722.79</v>
      </c>
    </row>
    <row r="184" spans="1:7">
      <c r="A184" s="473" t="s">
        <v>274</v>
      </c>
      <c r="B184" s="472"/>
      <c r="C184" s="472" t="s">
        <v>273</v>
      </c>
      <c r="D184" s="249">
        <f>D183+D170</f>
        <v>0</v>
      </c>
      <c r="E184" s="249">
        <f>E183+E170</f>
        <v>3288533.42</v>
      </c>
      <c r="F184" s="249">
        <f>F183+F170</f>
        <v>3319818.4181800005</v>
      </c>
      <c r="G184" s="249">
        <f>G183+G170</f>
        <v>3335932.89</v>
      </c>
    </row>
    <row r="185" spans="1:7">
      <c r="A185" s="473"/>
      <c r="B185" s="472"/>
      <c r="C185" s="472" t="s">
        <v>272</v>
      </c>
      <c r="D185" s="249">
        <f t="shared" ref="D185:G186" si="0">D181-D183</f>
        <v>0</v>
      </c>
      <c r="E185" s="249">
        <f t="shared" si="0"/>
        <v>43677.179999999702</v>
      </c>
      <c r="F185" s="249">
        <f t="shared" si="0"/>
        <v>57277.308319998905</v>
      </c>
      <c r="G185" s="249">
        <f t="shared" si="0"/>
        <v>82933.699999999255</v>
      </c>
    </row>
    <row r="186" spans="1:7">
      <c r="A186" s="473"/>
      <c r="B186" s="472"/>
      <c r="C186" s="472" t="s">
        <v>271</v>
      </c>
      <c r="D186" s="249">
        <f t="shared" si="0"/>
        <v>0</v>
      </c>
      <c r="E186" s="249">
        <f t="shared" si="0"/>
        <v>-161859.12000000011</v>
      </c>
      <c r="F186" s="249">
        <f t="shared" si="0"/>
        <v>-151203.48539000098</v>
      </c>
      <c r="G186" s="249">
        <f t="shared" si="0"/>
        <v>-127685.35000000102</v>
      </c>
    </row>
  </sheetData>
  <sheetProtection selectLockedCells="1" sort="0" autoFilter="0" pivotTables="0"/>
  <autoFilter ref="A1:G1"/>
  <mergeCells count="2">
    <mergeCell ref="A3:C3"/>
    <mergeCell ref="A81:C81"/>
  </mergeCells>
  <pageMargins left="0.23622047244094491" right="0.23622047244094491" top="0.74803149606299213" bottom="0.74803149606299213" header="0.31496062992125984" footer="0.31496062992125984"/>
  <pageSetup paperSize="9" fitToHeight="8" orientation="landscape" r:id="rId1"/>
  <headerFooter alignWithMargins="0">
    <oddHeader>&amp;LFachgruppe für kantonale Finanzfragen (FkF)
Groupe d'études pour les finances cantonales
&amp;CKanton VD&amp;RZürich, 11.05.2015</oddHeader>
    <oddFooter>&amp;L&amp;F / &amp;A</oddFooter>
  </headerFooter>
  <rowBreaks count="2" manualBreakCount="2">
    <brk id="79" max="16383" man="1"/>
    <brk id="148" max="16383" man="1"/>
  </rowBreaks>
  <legacy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5"/>
  <dimension ref="A1:I43"/>
  <sheetViews>
    <sheetView zoomScaleNormal="100" workbookViewId="0">
      <selection activeCell="G10" sqref="G10"/>
    </sheetView>
  </sheetViews>
  <sheetFormatPr baseColWidth="10" defaultRowHeight="12.75"/>
  <cols>
    <col min="1" max="1" width="10.42578125" customWidth="1"/>
    <col min="2" max="2" width="46.42578125" bestFit="1" customWidth="1"/>
    <col min="3" max="3" width="12.28515625" bestFit="1" customWidth="1"/>
    <col min="4" max="4" width="11.5703125" bestFit="1" customWidth="1"/>
    <col min="5" max="5" width="12.28515625" bestFit="1" customWidth="1"/>
    <col min="6" max="6" width="11.5703125" bestFit="1" customWidth="1"/>
    <col min="7" max="7" width="12.28515625" bestFit="1" customWidth="1"/>
    <col min="8" max="8" width="11.5703125" style="65" bestFit="1" customWidth="1"/>
    <col min="9" max="9" width="12.28515625" bestFit="1" customWidth="1"/>
  </cols>
  <sheetData>
    <row r="1" spans="1:9">
      <c r="A1" s="5" t="s">
        <v>528</v>
      </c>
      <c r="B1" s="6" t="s">
        <v>524</v>
      </c>
      <c r="C1" s="54" t="s">
        <v>487</v>
      </c>
      <c r="D1" s="7" t="s">
        <v>530</v>
      </c>
      <c r="E1" s="54" t="s">
        <v>254</v>
      </c>
      <c r="F1" s="7" t="s">
        <v>530</v>
      </c>
      <c r="G1" s="54" t="s">
        <v>487</v>
      </c>
      <c r="H1" s="7" t="s">
        <v>530</v>
      </c>
      <c r="I1" s="55" t="s">
        <v>254</v>
      </c>
    </row>
    <row r="2" spans="1:9">
      <c r="A2" s="112">
        <v>0</v>
      </c>
      <c r="B2" s="115">
        <v>0</v>
      </c>
      <c r="C2" s="62">
        <v>2013</v>
      </c>
      <c r="D2" s="3" t="s">
        <v>531</v>
      </c>
      <c r="E2" s="62">
        <v>2014</v>
      </c>
      <c r="F2" s="3" t="s">
        <v>531</v>
      </c>
      <c r="G2" s="63">
        <v>2014</v>
      </c>
      <c r="H2" s="3" t="s">
        <v>531</v>
      </c>
      <c r="I2" s="64">
        <v>2015</v>
      </c>
    </row>
    <row r="3" spans="1:9">
      <c r="A3" s="112">
        <v>0</v>
      </c>
      <c r="B3" s="2" t="s">
        <v>607</v>
      </c>
      <c r="C3" s="114">
        <v>0</v>
      </c>
      <c r="D3" s="113">
        <v>0</v>
      </c>
      <c r="E3" s="114" t="s">
        <v>604</v>
      </c>
      <c r="F3" s="115">
        <v>0</v>
      </c>
      <c r="G3" s="116" t="s">
        <v>604</v>
      </c>
      <c r="H3" s="113">
        <v>0</v>
      </c>
      <c r="I3" s="105" t="s">
        <v>604</v>
      </c>
    </row>
    <row r="4" spans="1:9">
      <c r="A4" s="5" t="s">
        <v>533</v>
      </c>
      <c r="B4" s="9" t="s">
        <v>484</v>
      </c>
      <c r="C4" s="10">
        <v>3087861.4670000002</v>
      </c>
      <c r="D4" s="11">
        <v>-0.21655536498198744</v>
      </c>
      <c r="E4" s="10">
        <v>2419168.5</v>
      </c>
      <c r="F4" s="11">
        <v>1.851496294284586E-2</v>
      </c>
      <c r="G4" s="10">
        <v>2463959.31513</v>
      </c>
      <c r="H4" s="241">
        <v>-2.2720592335367412E-2</v>
      </c>
      <c r="I4" s="12">
        <v>2407976.7000000002</v>
      </c>
    </row>
    <row r="5" spans="1:9">
      <c r="A5" s="13" t="s">
        <v>534</v>
      </c>
      <c r="B5" s="14" t="s">
        <v>608</v>
      </c>
      <c r="C5" s="15">
        <v>514705.94799999997</v>
      </c>
      <c r="D5" s="16">
        <v>0.57742416452510092</v>
      </c>
      <c r="E5" s="15">
        <v>811909.6</v>
      </c>
      <c r="F5" s="16">
        <v>8.1075089714421344E-2</v>
      </c>
      <c r="G5" s="15">
        <v>877735.24365999992</v>
      </c>
      <c r="H5" s="41">
        <v>-4.4101844992103963E-2</v>
      </c>
      <c r="I5" s="17">
        <v>839025.5</v>
      </c>
    </row>
    <row r="6" spans="1:9">
      <c r="A6" s="13" t="s">
        <v>482</v>
      </c>
      <c r="B6" s="14" t="s">
        <v>609</v>
      </c>
      <c r="C6" s="15">
        <v>82350.896999999997</v>
      </c>
      <c r="D6" s="16">
        <v>-0.24079636922473352</v>
      </c>
      <c r="E6" s="15">
        <v>62521.1</v>
      </c>
      <c r="F6" s="16">
        <v>0.14871130338397748</v>
      </c>
      <c r="G6" s="15">
        <v>71818.694269999993</v>
      </c>
      <c r="H6" s="41">
        <v>2.591673030147959E-2</v>
      </c>
      <c r="I6" s="17">
        <v>73680</v>
      </c>
    </row>
    <row r="7" spans="1:9">
      <c r="A7" s="13" t="s">
        <v>537</v>
      </c>
      <c r="B7" s="14" t="s">
        <v>610</v>
      </c>
      <c r="C7" s="15">
        <v>59145.838000000003</v>
      </c>
      <c r="D7" s="16">
        <v>7.2858245748415887E-2</v>
      </c>
      <c r="E7" s="15">
        <v>63455.1</v>
      </c>
      <c r="F7" s="16">
        <v>-0.46424988755828939</v>
      </c>
      <c r="G7" s="15">
        <v>33996.076959999991</v>
      </c>
      <c r="H7" s="41">
        <v>0.56376278541052038</v>
      </c>
      <c r="I7" s="17">
        <v>53161.8</v>
      </c>
    </row>
    <row r="8" spans="1:9">
      <c r="A8" s="13" t="s">
        <v>539</v>
      </c>
      <c r="B8" s="14" t="s">
        <v>611</v>
      </c>
      <c r="C8" s="15">
        <v>126666.15399999999</v>
      </c>
      <c r="D8" s="16">
        <v>-0.99999763156936139</v>
      </c>
      <c r="E8" s="15">
        <v>0.30000000000000004</v>
      </c>
      <c r="F8" s="16">
        <v>74.798533333333324</v>
      </c>
      <c r="G8" s="15">
        <v>22.739560000000001</v>
      </c>
      <c r="H8" s="41">
        <v>-0.96481902024489474</v>
      </c>
      <c r="I8" s="17">
        <v>0.8</v>
      </c>
    </row>
    <row r="9" spans="1:9">
      <c r="A9" s="13" t="s">
        <v>541</v>
      </c>
      <c r="B9" s="14" t="s">
        <v>612</v>
      </c>
      <c r="C9" s="15">
        <v>183111.86</v>
      </c>
      <c r="D9" s="16">
        <v>9.6008745692387307E-2</v>
      </c>
      <c r="E9" s="15">
        <v>200692.2</v>
      </c>
      <c r="F9" s="16">
        <v>0.70133869517599556</v>
      </c>
      <c r="G9" s="15">
        <v>341445.40567999997</v>
      </c>
      <c r="H9" s="41">
        <v>-0.39202432791099778</v>
      </c>
      <c r="I9" s="17">
        <v>207590.5</v>
      </c>
    </row>
    <row r="10" spans="1:9">
      <c r="A10" s="13" t="s">
        <v>543</v>
      </c>
      <c r="B10" s="14" t="s">
        <v>613</v>
      </c>
      <c r="C10" s="15">
        <v>5144860.5290000001</v>
      </c>
      <c r="D10" s="16">
        <v>4.464075745210544E-2</v>
      </c>
      <c r="E10" s="15">
        <v>5374531</v>
      </c>
      <c r="F10" s="16">
        <v>5.2889368385818307E-2</v>
      </c>
      <c r="G10" s="15">
        <v>5658786.5499600004</v>
      </c>
      <c r="H10" s="41">
        <v>2.5067830204869987E-3</v>
      </c>
      <c r="I10" s="17">
        <v>5672971.9000000004</v>
      </c>
    </row>
    <row r="11" spans="1:9">
      <c r="A11" s="13" t="s">
        <v>614</v>
      </c>
      <c r="B11" s="14" t="s">
        <v>615</v>
      </c>
      <c r="C11" s="15">
        <v>0</v>
      </c>
      <c r="D11" s="41" t="s">
        <v>555</v>
      </c>
      <c r="E11" s="15">
        <v>1079519.7</v>
      </c>
      <c r="F11" s="16">
        <v>-2.4568052922054051E-2</v>
      </c>
      <c r="G11" s="15">
        <v>1052998.00288</v>
      </c>
      <c r="H11" s="41">
        <v>7.6520370313734057E-2</v>
      </c>
      <c r="I11" s="17">
        <v>1133573.8</v>
      </c>
    </row>
    <row r="12" spans="1:9">
      <c r="A12" s="13" t="s">
        <v>616</v>
      </c>
      <c r="B12" s="14" t="s">
        <v>617</v>
      </c>
      <c r="C12" s="15">
        <v>0</v>
      </c>
      <c r="D12" s="41" t="s">
        <v>555</v>
      </c>
      <c r="E12" s="15">
        <v>315661.3</v>
      </c>
      <c r="F12" s="16">
        <v>-3.8966063340675428E-2</v>
      </c>
      <c r="G12" s="15">
        <v>303361.22179000004</v>
      </c>
      <c r="H12" s="41">
        <v>0.10234293634105927</v>
      </c>
      <c r="I12" s="17">
        <v>334408.09999999998</v>
      </c>
    </row>
    <row r="13" spans="1:9">
      <c r="A13" s="13" t="s">
        <v>618</v>
      </c>
      <c r="B13" s="14" t="s">
        <v>619</v>
      </c>
      <c r="C13" s="15">
        <v>2373878.2159999995</v>
      </c>
      <c r="D13" s="41">
        <v>-1</v>
      </c>
      <c r="E13" s="15">
        <v>0</v>
      </c>
      <c r="F13" s="41" t="s">
        <v>555</v>
      </c>
      <c r="G13" s="15">
        <v>0</v>
      </c>
      <c r="H13" s="41" t="s">
        <v>555</v>
      </c>
      <c r="I13" s="17">
        <v>0</v>
      </c>
    </row>
    <row r="14" spans="1:9">
      <c r="A14" s="13" t="s">
        <v>620</v>
      </c>
      <c r="B14" s="14" t="s">
        <v>621</v>
      </c>
      <c r="C14" s="15">
        <v>0</v>
      </c>
      <c r="D14" s="41" t="s">
        <v>555</v>
      </c>
      <c r="E14" s="15">
        <v>128500</v>
      </c>
      <c r="F14" s="16">
        <v>8.8270255642023315E-2</v>
      </c>
      <c r="G14" s="15">
        <v>139842.72785</v>
      </c>
      <c r="H14" s="41">
        <v>0.57781032587315906</v>
      </c>
      <c r="I14" s="17">
        <v>220645.3</v>
      </c>
    </row>
    <row r="15" spans="1:9">
      <c r="A15" s="13" t="s">
        <v>622</v>
      </c>
      <c r="B15" s="14" t="s">
        <v>623</v>
      </c>
      <c r="C15" s="15">
        <v>0</v>
      </c>
      <c r="D15" s="41" t="s">
        <v>555</v>
      </c>
      <c r="E15" s="15">
        <v>5230</v>
      </c>
      <c r="F15" s="16">
        <v>0.75685275334608049</v>
      </c>
      <c r="G15" s="15">
        <v>9188.3399000000009</v>
      </c>
      <c r="H15" s="41">
        <v>-0.14565633341448336</v>
      </c>
      <c r="I15" s="17">
        <v>7850</v>
      </c>
    </row>
    <row r="16" spans="1:9">
      <c r="A16" s="13" t="s">
        <v>624</v>
      </c>
      <c r="B16" s="14" t="s">
        <v>625</v>
      </c>
      <c r="C16" s="15">
        <v>182582.81004000001</v>
      </c>
      <c r="D16" s="41">
        <v>-1</v>
      </c>
      <c r="E16" s="15">
        <v>0</v>
      </c>
      <c r="F16" s="41" t="s">
        <v>555</v>
      </c>
      <c r="G16" s="15">
        <v>0</v>
      </c>
      <c r="H16" s="41" t="s">
        <v>555</v>
      </c>
      <c r="I16" s="17">
        <v>0</v>
      </c>
    </row>
    <row r="17" spans="1:9">
      <c r="A17" s="13" t="s">
        <v>558</v>
      </c>
      <c r="B17" s="14" t="s">
        <v>626</v>
      </c>
      <c r="C17" s="15">
        <v>148250.25700000001</v>
      </c>
      <c r="D17" s="16">
        <v>-0.68409228457526394</v>
      </c>
      <c r="E17" s="15">
        <v>46833.4</v>
      </c>
      <c r="F17" s="16">
        <v>-0.71755931877677037</v>
      </c>
      <c r="G17" s="15">
        <v>13227.6574</v>
      </c>
      <c r="H17" s="41">
        <v>3.1858129769826062</v>
      </c>
      <c r="I17" s="17">
        <v>55368.5</v>
      </c>
    </row>
    <row r="18" spans="1:9">
      <c r="A18" s="13">
        <v>389</v>
      </c>
      <c r="B18" s="14" t="s">
        <v>417</v>
      </c>
      <c r="C18" s="15">
        <v>0</v>
      </c>
      <c r="D18" s="41" t="s">
        <v>555</v>
      </c>
      <c r="E18" s="15">
        <v>0</v>
      </c>
      <c r="F18" s="41" t="s">
        <v>555</v>
      </c>
      <c r="G18" s="15">
        <v>120950</v>
      </c>
      <c r="H18" s="41">
        <v>-1</v>
      </c>
      <c r="I18" s="17">
        <v>0</v>
      </c>
    </row>
    <row r="19" spans="1:9">
      <c r="A19" s="18" t="s">
        <v>560</v>
      </c>
      <c r="B19" s="19" t="s">
        <v>447</v>
      </c>
      <c r="C19" s="20">
        <v>7113.799</v>
      </c>
      <c r="D19" s="41">
        <v>-1.1386180576651068E-2</v>
      </c>
      <c r="E19" s="20">
        <v>7032.8</v>
      </c>
      <c r="F19" s="41">
        <v>0.12107533699237857</v>
      </c>
      <c r="G19" s="20">
        <v>7884.2986300000002</v>
      </c>
      <c r="H19" s="41">
        <v>-0.44092680822263586</v>
      </c>
      <c r="I19" s="21">
        <v>4407.8999999999996</v>
      </c>
    </row>
    <row r="20" spans="1:9">
      <c r="A20" s="22" t="s">
        <v>562</v>
      </c>
      <c r="B20" s="23" t="s">
        <v>627</v>
      </c>
      <c r="C20" s="24">
        <v>9271715.8520000018</v>
      </c>
      <c r="D20" s="25">
        <v>-3.754353105255228E-2</v>
      </c>
      <c r="E20" s="24">
        <v>8923622.8999999985</v>
      </c>
      <c r="F20" s="25">
        <v>6.6607967822127606E-2</v>
      </c>
      <c r="G20" s="24">
        <v>9518007.2869799994</v>
      </c>
      <c r="H20" s="242">
        <v>-2.9155649771313422E-2</v>
      </c>
      <c r="I20" s="26">
        <v>9240503.6000000015</v>
      </c>
    </row>
    <row r="21" spans="1:9">
      <c r="A21" s="27" t="s">
        <v>564</v>
      </c>
      <c r="B21" s="28" t="s">
        <v>628</v>
      </c>
      <c r="C21" s="10">
        <v>5386421.3030000003</v>
      </c>
      <c r="D21" s="16">
        <v>-0.11698329327656758</v>
      </c>
      <c r="E21" s="10">
        <v>4756300</v>
      </c>
      <c r="F21" s="16">
        <v>8.0436178268822656E-2</v>
      </c>
      <c r="G21" s="10">
        <v>5138878.5947000012</v>
      </c>
      <c r="H21" s="41">
        <v>-2.7458051810277991E-2</v>
      </c>
      <c r="I21" s="12">
        <v>4997775</v>
      </c>
    </row>
    <row r="22" spans="1:9">
      <c r="A22" s="8" t="s">
        <v>566</v>
      </c>
      <c r="B22" s="29" t="s">
        <v>629</v>
      </c>
      <c r="C22" s="15">
        <v>373793.43099999998</v>
      </c>
      <c r="D22" s="16">
        <v>0.72025495011976293</v>
      </c>
      <c r="E22" s="15">
        <v>643020</v>
      </c>
      <c r="F22" s="16">
        <v>9.5708890423314971E-2</v>
      </c>
      <c r="G22" s="15">
        <v>704562.73071999999</v>
      </c>
      <c r="H22" s="41">
        <v>-4.7324005750242717E-2</v>
      </c>
      <c r="I22" s="17">
        <v>671220</v>
      </c>
    </row>
    <row r="23" spans="1:9">
      <c r="A23" s="8" t="s">
        <v>568</v>
      </c>
      <c r="B23" s="29" t="s">
        <v>630</v>
      </c>
      <c r="C23" s="15">
        <v>294700.201</v>
      </c>
      <c r="D23" s="16">
        <v>-0.18969346071128063</v>
      </c>
      <c r="E23" s="15">
        <v>238797.5</v>
      </c>
      <c r="F23" s="16">
        <v>0.33789730512254096</v>
      </c>
      <c r="G23" s="15">
        <v>319486.53171999997</v>
      </c>
      <c r="H23" s="41">
        <v>-0.28558553385268809</v>
      </c>
      <c r="I23" s="17">
        <v>228245.80000000002</v>
      </c>
    </row>
    <row r="24" spans="1:9">
      <c r="A24" s="8" t="s">
        <v>570</v>
      </c>
      <c r="B24" s="29" t="s">
        <v>631</v>
      </c>
      <c r="C24" s="15">
        <v>553764.1</v>
      </c>
      <c r="D24" s="16">
        <v>-2.0193797322722758E-2</v>
      </c>
      <c r="E24" s="15">
        <v>542581.5</v>
      </c>
      <c r="F24" s="16">
        <v>0.10059230591164642</v>
      </c>
      <c r="G24" s="15">
        <v>597161.02422999998</v>
      </c>
      <c r="H24" s="41">
        <v>-0.1555939193282202</v>
      </c>
      <c r="I24" s="17">
        <v>504246.4</v>
      </c>
    </row>
    <row r="25" spans="1:9">
      <c r="A25" s="8" t="s">
        <v>572</v>
      </c>
      <c r="B25" s="29" t="s">
        <v>613</v>
      </c>
      <c r="C25" s="15">
        <v>2613241.9909999999</v>
      </c>
      <c r="D25" s="16">
        <v>2.8323710262927501E-2</v>
      </c>
      <c r="E25" s="15">
        <v>2687258.6999999997</v>
      </c>
      <c r="F25" s="16">
        <v>5.1271100054490773E-2</v>
      </c>
      <c r="G25" s="15">
        <v>2825037.4096800005</v>
      </c>
      <c r="H25" s="41">
        <v>-1.6034658346393796E-2</v>
      </c>
      <c r="I25" s="17">
        <v>2779738.9000000004</v>
      </c>
    </row>
    <row r="26" spans="1:9">
      <c r="A26" s="56" t="s">
        <v>574</v>
      </c>
      <c r="B26" s="29" t="s">
        <v>632</v>
      </c>
      <c r="C26" s="15">
        <v>50559.858999999997</v>
      </c>
      <c r="D26" s="16">
        <v>0.43832877382035423</v>
      </c>
      <c r="E26" s="15">
        <v>72721.7</v>
      </c>
      <c r="F26" s="16">
        <v>-0.97047518512356012</v>
      </c>
      <c r="G26" s="15">
        <v>2147.0947299999998</v>
      </c>
      <c r="H26" s="41">
        <v>36.753574105228239</v>
      </c>
      <c r="I26" s="17">
        <v>81060.5</v>
      </c>
    </row>
    <row r="27" spans="1:9">
      <c r="A27" s="150">
        <v>489</v>
      </c>
      <c r="B27" s="29" t="s">
        <v>407</v>
      </c>
      <c r="C27" s="15">
        <v>0</v>
      </c>
      <c r="D27" s="16" t="s">
        <v>555</v>
      </c>
      <c r="E27" s="15">
        <v>0</v>
      </c>
      <c r="F27" s="16" t="s">
        <v>555</v>
      </c>
      <c r="G27" s="15">
        <v>4036.14716</v>
      </c>
      <c r="H27" s="41">
        <v>-1</v>
      </c>
      <c r="I27" s="17">
        <v>0</v>
      </c>
    </row>
    <row r="28" spans="1:9">
      <c r="A28" s="30" t="s">
        <v>576</v>
      </c>
      <c r="B28" s="31" t="s">
        <v>447</v>
      </c>
      <c r="C28" s="20">
        <v>7113.799</v>
      </c>
      <c r="D28" s="16">
        <v>-1.1386180576651068E-2</v>
      </c>
      <c r="E28" s="20">
        <v>7032.8</v>
      </c>
      <c r="F28" s="16">
        <v>0.12107533699237857</v>
      </c>
      <c r="G28" s="20">
        <v>7884.2986300000002</v>
      </c>
      <c r="H28" s="41">
        <v>-0.44091412478626524</v>
      </c>
      <c r="I28" s="21">
        <v>4408</v>
      </c>
    </row>
    <row r="29" spans="1:9">
      <c r="A29" s="48" t="s">
        <v>578</v>
      </c>
      <c r="B29" s="49" t="s">
        <v>633</v>
      </c>
      <c r="C29" s="24">
        <v>9279594.6840000004</v>
      </c>
      <c r="D29" s="50">
        <v>-3.5764760779071231E-2</v>
      </c>
      <c r="E29" s="24">
        <v>8947712.1999999993</v>
      </c>
      <c r="F29" s="50">
        <v>7.2809855414214183E-2</v>
      </c>
      <c r="G29" s="24">
        <v>9599193.8315699995</v>
      </c>
      <c r="H29" s="243">
        <v>-3.4638245398948879E-2</v>
      </c>
      <c r="I29" s="26">
        <v>9266694.6000000015</v>
      </c>
    </row>
    <row r="30" spans="1:9">
      <c r="A30" s="47" t="s">
        <v>580</v>
      </c>
      <c r="B30" s="32" t="s">
        <v>634</v>
      </c>
      <c r="C30" s="33">
        <v>7878.8319999985397</v>
      </c>
      <c r="D30" s="117">
        <v>0</v>
      </c>
      <c r="E30" s="33">
        <v>24089.300000000745</v>
      </c>
      <c r="F30" s="117">
        <v>0</v>
      </c>
      <c r="G30" s="34">
        <v>81186.544590000063</v>
      </c>
      <c r="H30" s="244">
        <v>0</v>
      </c>
      <c r="I30" s="35">
        <v>26191</v>
      </c>
    </row>
    <row r="31" spans="1:9">
      <c r="A31" s="120">
        <v>0</v>
      </c>
      <c r="B31" s="28" t="s">
        <v>635</v>
      </c>
      <c r="C31" s="118">
        <v>0</v>
      </c>
      <c r="D31" s="123">
        <v>0</v>
      </c>
      <c r="E31" s="118">
        <v>0</v>
      </c>
      <c r="F31" s="123">
        <v>0</v>
      </c>
      <c r="G31" s="118">
        <v>0</v>
      </c>
      <c r="H31" s="245">
        <v>0</v>
      </c>
      <c r="I31" s="119">
        <v>0</v>
      </c>
    </row>
    <row r="32" spans="1:9">
      <c r="A32" s="56" t="s">
        <v>583</v>
      </c>
      <c r="B32" s="29" t="s">
        <v>636</v>
      </c>
      <c r="C32" s="15">
        <v>243722.38886000001</v>
      </c>
      <c r="D32" s="16">
        <v>0.59510581616412273</v>
      </c>
      <c r="E32" s="15">
        <v>388763</v>
      </c>
      <c r="F32" s="16">
        <v>-0.26456150976301746</v>
      </c>
      <c r="G32" s="15">
        <v>285911.27378000005</v>
      </c>
      <c r="H32" s="41">
        <v>0.58457899896807608</v>
      </c>
      <c r="I32" s="17">
        <v>453049</v>
      </c>
    </row>
    <row r="33" spans="1:9">
      <c r="A33" s="56" t="s">
        <v>585</v>
      </c>
      <c r="B33" s="29" t="s">
        <v>637</v>
      </c>
      <c r="C33" s="15">
        <v>0</v>
      </c>
      <c r="D33" s="16" t="s">
        <v>555</v>
      </c>
      <c r="E33" s="15">
        <v>0</v>
      </c>
      <c r="F33" s="16" t="s">
        <v>555</v>
      </c>
      <c r="G33" s="15">
        <v>34948.550000000003</v>
      </c>
      <c r="H33" s="41">
        <v>-1</v>
      </c>
      <c r="I33" s="17">
        <v>0</v>
      </c>
    </row>
    <row r="34" spans="1:9">
      <c r="A34" s="8" t="s">
        <v>587</v>
      </c>
      <c r="B34" s="29" t="s">
        <v>638</v>
      </c>
      <c r="C34" s="15">
        <v>35971.3033</v>
      </c>
      <c r="D34" s="16">
        <v>-1</v>
      </c>
      <c r="E34" s="15">
        <v>0</v>
      </c>
      <c r="F34" s="16" t="s">
        <v>555</v>
      </c>
      <c r="G34" s="15">
        <v>55355.886969999992</v>
      </c>
      <c r="H34" s="41">
        <v>-1</v>
      </c>
      <c r="I34" s="17">
        <v>0</v>
      </c>
    </row>
    <row r="35" spans="1:9">
      <c r="A35" s="48" t="s">
        <v>589</v>
      </c>
      <c r="B35" s="49" t="s">
        <v>639</v>
      </c>
      <c r="C35" s="24">
        <v>279693.69215999998</v>
      </c>
      <c r="D35" s="51">
        <v>0.3899598414168256</v>
      </c>
      <c r="E35" s="24">
        <v>388763</v>
      </c>
      <c r="F35" s="51">
        <v>-3.2274905919544739E-2</v>
      </c>
      <c r="G35" s="24">
        <v>376215.71075000003</v>
      </c>
      <c r="H35" s="243">
        <v>0.20422668978079078</v>
      </c>
      <c r="I35" s="26">
        <v>453049</v>
      </c>
    </row>
    <row r="36" spans="1:9">
      <c r="A36" s="8" t="s">
        <v>591</v>
      </c>
      <c r="B36" s="29" t="s">
        <v>640</v>
      </c>
      <c r="C36" s="15">
        <v>2605</v>
      </c>
      <c r="D36" s="16">
        <v>6.5021113243761999</v>
      </c>
      <c r="E36" s="15">
        <v>19543</v>
      </c>
      <c r="F36" s="16">
        <v>-1</v>
      </c>
      <c r="G36" s="15">
        <v>0</v>
      </c>
      <c r="H36" s="41" t="s">
        <v>555</v>
      </c>
      <c r="I36" s="17">
        <v>31575</v>
      </c>
    </row>
    <row r="37" spans="1:9">
      <c r="A37" s="8" t="s">
        <v>593</v>
      </c>
      <c r="B37" s="29" t="s">
        <v>641</v>
      </c>
      <c r="C37" s="15">
        <v>36184</v>
      </c>
      <c r="D37" s="16">
        <v>-1</v>
      </c>
      <c r="E37" s="15">
        <v>0</v>
      </c>
      <c r="F37" s="16" t="s">
        <v>555</v>
      </c>
      <c r="G37" s="15">
        <v>32902.167780000003</v>
      </c>
      <c r="H37" s="41">
        <v>-1</v>
      </c>
      <c r="I37" s="17">
        <v>0</v>
      </c>
    </row>
    <row r="38" spans="1:9">
      <c r="A38" s="48" t="s">
        <v>595</v>
      </c>
      <c r="B38" s="49" t="s">
        <v>642</v>
      </c>
      <c r="C38" s="24">
        <v>38789</v>
      </c>
      <c r="D38" s="51">
        <v>-0.49617159503983088</v>
      </c>
      <c r="E38" s="24">
        <v>19543</v>
      </c>
      <c r="F38" s="51">
        <v>0.68357814972112796</v>
      </c>
      <c r="G38" s="24">
        <v>32902.167780000003</v>
      </c>
      <c r="H38" s="243">
        <v>-4.0336788410845655E-2</v>
      </c>
      <c r="I38" s="26">
        <v>31575</v>
      </c>
    </row>
    <row r="39" spans="1:9">
      <c r="A39" s="36" t="s">
        <v>597</v>
      </c>
      <c r="B39" s="37" t="s">
        <v>4</v>
      </c>
      <c r="C39" s="38">
        <v>240904.69215999998</v>
      </c>
      <c r="D39" s="39">
        <v>0.53263930515217095</v>
      </c>
      <c r="E39" s="38">
        <v>369220</v>
      </c>
      <c r="F39" s="39">
        <v>-7.0165367612805354E-2</v>
      </c>
      <c r="G39" s="38">
        <v>343313.54297000001</v>
      </c>
      <c r="H39" s="246">
        <v>0.22766493961710663</v>
      </c>
      <c r="I39" s="40">
        <v>421474</v>
      </c>
    </row>
    <row r="40" spans="1:9">
      <c r="A40" s="112" t="s">
        <v>0</v>
      </c>
      <c r="B40" s="29" t="s">
        <v>334</v>
      </c>
      <c r="C40" s="15">
        <v>190990.69199999853</v>
      </c>
      <c r="D40" s="16">
        <v>0.17692384715796775</v>
      </c>
      <c r="E40" s="15">
        <v>224781.50000000076</v>
      </c>
      <c r="F40" s="16">
        <v>1.4003123171168363</v>
      </c>
      <c r="G40" s="15">
        <v>539545.80310999998</v>
      </c>
      <c r="H40" s="41">
        <v>-0.56670685110984398</v>
      </c>
      <c r="I40" s="17">
        <v>233781.5</v>
      </c>
    </row>
    <row r="41" spans="1:9">
      <c r="A41" s="112" t="s">
        <v>0</v>
      </c>
      <c r="B41" s="29" t="s">
        <v>643</v>
      </c>
      <c r="C41" s="15">
        <v>-49914.000160001451</v>
      </c>
      <c r="D41" s="16">
        <v>1.8937472359858054</v>
      </c>
      <c r="E41" s="15">
        <v>-144438.49999999924</v>
      </c>
      <c r="F41" s="16">
        <v>-2.3585869428164998</v>
      </c>
      <c r="G41" s="15">
        <v>196232.26013999997</v>
      </c>
      <c r="H41" s="41">
        <v>-1.9564813648178574</v>
      </c>
      <c r="I41" s="17">
        <v>-187692.5</v>
      </c>
    </row>
    <row r="42" spans="1:9">
      <c r="A42" s="121" t="s">
        <v>0</v>
      </c>
      <c r="B42" s="31" t="s">
        <v>644</v>
      </c>
      <c r="C42" s="20">
        <v>9086267.4741600025</v>
      </c>
      <c r="D42" s="111">
        <v>-3.1300282806867698E-3</v>
      </c>
      <c r="E42" s="20">
        <v>9057827.1999999974</v>
      </c>
      <c r="F42" s="111">
        <v>3.8956991414011662E-2</v>
      </c>
      <c r="G42" s="20">
        <v>9410692.8964599986</v>
      </c>
      <c r="H42" s="247">
        <v>1.6462128464344433E-3</v>
      </c>
      <c r="I42" s="21">
        <v>9426184.9000000004</v>
      </c>
    </row>
    <row r="43" spans="1:9">
      <c r="A43" s="121" t="s">
        <v>0</v>
      </c>
      <c r="B43" s="31" t="s">
        <v>6</v>
      </c>
      <c r="C43" s="60">
        <v>0.79280602751045459</v>
      </c>
      <c r="D43" s="122">
        <v>0</v>
      </c>
      <c r="E43" s="60">
        <v>0.60880098586208964</v>
      </c>
      <c r="F43" s="167">
        <v>0</v>
      </c>
      <c r="G43" s="60">
        <v>1.5715832193580184</v>
      </c>
      <c r="H43" s="167">
        <v>0</v>
      </c>
      <c r="I43" s="168">
        <v>0.55467597052249962</v>
      </c>
    </row>
  </sheetData>
  <phoneticPr fontId="7" type="noConversion"/>
  <pageMargins left="0.23622047244094491" right="0.23622047244094491" top="0.74803149606299213" bottom="0.74803149606299213" header="0.31496062992125984" footer="0.31496062992125984"/>
  <pageSetup paperSize="9" orientation="landscape" r:id="rId1"/>
  <headerFooter alignWithMargins="0">
    <oddHeader>&amp;LFachgruppe für kantonale Finanzfragen (FkF)
Groupe d'études pour les finances cantonales
&amp;CKanton VD&amp;RZürich, 11.05.2015</oddHeader>
    <oddFooter>&amp;L&amp;F / &amp;A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3">
    <tabColor rgb="FF00B050"/>
  </sheetPr>
  <dimension ref="A1:AM186"/>
  <sheetViews>
    <sheetView zoomScaleNormal="100" workbookViewId="0">
      <selection activeCell="G10" sqref="G10"/>
    </sheetView>
  </sheetViews>
  <sheetFormatPr baseColWidth="10" defaultColWidth="11.42578125" defaultRowHeight="12.75"/>
  <cols>
    <col min="1" max="1" width="16.28515625" style="678" customWidth="1"/>
    <col min="2" max="2" width="3.7109375" style="470" customWidth="1"/>
    <col min="3" max="3" width="44.7109375" style="470" customWidth="1"/>
    <col min="4" max="6" width="11.42578125" style="470" customWidth="1"/>
    <col min="7" max="16384" width="11.42578125" style="470"/>
  </cols>
  <sheetData>
    <row r="1" spans="1:39" s="642" customFormat="1" ht="18" customHeight="1">
      <c r="A1" s="787" t="s">
        <v>490</v>
      </c>
      <c r="B1" s="671" t="s">
        <v>525</v>
      </c>
      <c r="C1" s="671" t="s">
        <v>524</v>
      </c>
      <c r="D1" s="643" t="s">
        <v>487</v>
      </c>
      <c r="E1" s="644" t="s">
        <v>254</v>
      </c>
      <c r="F1" s="643" t="s">
        <v>487</v>
      </c>
      <c r="G1" s="644" t="s">
        <v>254</v>
      </c>
      <c r="H1" s="608"/>
      <c r="I1" s="608"/>
      <c r="J1" s="608"/>
      <c r="K1" s="608"/>
      <c r="L1" s="608"/>
      <c r="M1" s="608"/>
      <c r="N1" s="608"/>
      <c r="O1" s="608"/>
      <c r="P1" s="608"/>
      <c r="Q1" s="608"/>
      <c r="R1" s="608"/>
      <c r="S1" s="608"/>
      <c r="T1" s="608"/>
      <c r="U1" s="608"/>
      <c r="V1" s="608"/>
      <c r="W1" s="608"/>
      <c r="X1" s="608"/>
      <c r="Y1" s="608"/>
      <c r="Z1" s="608"/>
      <c r="AA1" s="608"/>
      <c r="AB1" s="608"/>
      <c r="AC1" s="608"/>
      <c r="AD1" s="608"/>
      <c r="AE1" s="608"/>
      <c r="AF1" s="608"/>
      <c r="AG1" s="608"/>
      <c r="AH1" s="608"/>
      <c r="AI1" s="608"/>
      <c r="AJ1" s="608"/>
      <c r="AK1" s="608"/>
      <c r="AL1" s="608"/>
      <c r="AM1" s="608"/>
    </row>
    <row r="2" spans="1:39" s="636" customFormat="1" ht="15" customHeight="1">
      <c r="A2" s="786"/>
      <c r="B2" s="640"/>
      <c r="C2" s="639" t="s">
        <v>486</v>
      </c>
      <c r="D2" s="637">
        <v>2013</v>
      </c>
      <c r="E2" s="638">
        <v>2014</v>
      </c>
      <c r="F2" s="637">
        <v>2014</v>
      </c>
      <c r="G2" s="638">
        <v>2015</v>
      </c>
    </row>
    <row r="3" spans="1:39" ht="15" customHeight="1">
      <c r="A3" s="949" t="s">
        <v>485</v>
      </c>
      <c r="B3" s="950"/>
      <c r="C3" s="950"/>
      <c r="D3" s="512"/>
      <c r="E3" s="635" t="s">
        <v>251</v>
      </c>
      <c r="F3" s="512"/>
      <c r="G3" s="635"/>
    </row>
    <row r="4" spans="1:39" s="480" customFormat="1" ht="12.75" customHeight="1">
      <c r="A4" s="785">
        <v>30</v>
      </c>
      <c r="B4" s="669"/>
      <c r="C4" s="632" t="s">
        <v>484</v>
      </c>
      <c r="D4" s="411"/>
      <c r="E4" s="453">
        <v>2419168.5</v>
      </c>
      <c r="F4" s="411">
        <v>2463959.26779</v>
      </c>
      <c r="G4" s="453">
        <v>2407976.7000000002</v>
      </c>
    </row>
    <row r="5" spans="1:39" s="480" customFormat="1" ht="12.75" customHeight="1">
      <c r="A5" s="593">
        <v>31</v>
      </c>
      <c r="B5" s="587"/>
      <c r="C5" s="585" t="s">
        <v>483</v>
      </c>
      <c r="D5" s="317"/>
      <c r="E5" s="361">
        <v>806909.6</v>
      </c>
      <c r="F5" s="317">
        <v>872251.1124199999</v>
      </c>
      <c r="G5" s="361">
        <v>833525.5</v>
      </c>
    </row>
    <row r="6" spans="1:39" s="480" customFormat="1" ht="12.75" customHeight="1">
      <c r="A6" s="630" t="s">
        <v>482</v>
      </c>
      <c r="B6" s="586"/>
      <c r="C6" s="616" t="s">
        <v>481</v>
      </c>
      <c r="D6" s="322"/>
      <c r="E6" s="321">
        <v>62521.1</v>
      </c>
      <c r="F6" s="322">
        <v>71818.694269999993</v>
      </c>
      <c r="G6" s="361">
        <v>73680</v>
      </c>
    </row>
    <row r="7" spans="1:39" s="480" customFormat="1" ht="12.75" customHeight="1">
      <c r="A7" s="630" t="s">
        <v>480</v>
      </c>
      <c r="B7" s="586"/>
      <c r="C7" s="616" t="s">
        <v>479</v>
      </c>
      <c r="D7" s="322"/>
      <c r="E7" s="321">
        <v>80016.5</v>
      </c>
      <c r="F7" s="322">
        <v>16919.892609999999</v>
      </c>
      <c r="G7" s="361">
        <v>100014</v>
      </c>
    </row>
    <row r="8" spans="1:39" s="480" customFormat="1" ht="12.75" customHeight="1">
      <c r="A8" s="593">
        <v>330</v>
      </c>
      <c r="B8" s="587"/>
      <c r="C8" s="585" t="s">
        <v>478</v>
      </c>
      <c r="D8" s="317"/>
      <c r="E8" s="316">
        <v>167815</v>
      </c>
      <c r="F8" s="317">
        <v>174496.12907</v>
      </c>
      <c r="G8" s="361">
        <v>152011.9</v>
      </c>
    </row>
    <row r="9" spans="1:39" s="480" customFormat="1" ht="12.75" customHeight="1">
      <c r="A9" s="593">
        <v>332</v>
      </c>
      <c r="B9" s="587"/>
      <c r="C9" s="585" t="s">
        <v>477</v>
      </c>
      <c r="D9" s="317"/>
      <c r="E9" s="316">
        <v>0</v>
      </c>
      <c r="F9" s="317">
        <v>15429.936300000001</v>
      </c>
      <c r="G9" s="361">
        <v>25548.9</v>
      </c>
    </row>
    <row r="10" spans="1:39" s="480" customFormat="1" ht="12.75" customHeight="1">
      <c r="A10" s="593">
        <v>339</v>
      </c>
      <c r="B10" s="587"/>
      <c r="C10" s="585" t="s">
        <v>476</v>
      </c>
      <c r="D10" s="317"/>
      <c r="E10" s="316">
        <v>0</v>
      </c>
      <c r="F10" s="317">
        <v>0</v>
      </c>
      <c r="G10" s="361">
        <v>0</v>
      </c>
    </row>
    <row r="11" spans="1:39" s="771" customFormat="1" ht="28.15" customHeight="1">
      <c r="A11" s="597">
        <v>350</v>
      </c>
      <c r="B11" s="776"/>
      <c r="C11" s="589" t="s">
        <v>475</v>
      </c>
      <c r="D11" s="311"/>
      <c r="E11" s="310">
        <v>14971.9</v>
      </c>
      <c r="F11" s="311">
        <v>4392.4759199999999</v>
      </c>
      <c r="G11" s="311">
        <v>21951</v>
      </c>
    </row>
    <row r="12" spans="1:39" s="579" customFormat="1" ht="25.5">
      <c r="A12" s="597">
        <v>351</v>
      </c>
      <c r="B12" s="596"/>
      <c r="C12" s="589" t="s">
        <v>474</v>
      </c>
      <c r="D12" s="450"/>
      <c r="E12" s="400">
        <v>31861.5</v>
      </c>
      <c r="F12" s="450">
        <v>8835.1814800000011</v>
      </c>
      <c r="G12" s="450">
        <v>33417.5</v>
      </c>
    </row>
    <row r="13" spans="1:39" s="480" customFormat="1" ht="12.75" customHeight="1">
      <c r="A13" s="593">
        <v>36</v>
      </c>
      <c r="B13" s="587"/>
      <c r="C13" s="585" t="s">
        <v>473</v>
      </c>
      <c r="D13" s="322"/>
      <c r="E13" s="316">
        <v>4946831.8</v>
      </c>
      <c r="F13" s="322">
        <v>5328294.4169100001</v>
      </c>
      <c r="G13" s="322">
        <v>5145509.4000000004</v>
      </c>
    </row>
    <row r="14" spans="1:39" s="480" customFormat="1" ht="12.75" customHeight="1">
      <c r="A14" s="629" t="s">
        <v>472</v>
      </c>
      <c r="B14" s="587"/>
      <c r="C14" s="627" t="s">
        <v>471</v>
      </c>
      <c r="D14" s="322"/>
      <c r="E14" s="316">
        <v>1079519.7</v>
      </c>
      <c r="F14" s="322">
        <v>1052998.00288</v>
      </c>
      <c r="G14" s="322">
        <v>1133573.8</v>
      </c>
    </row>
    <row r="15" spans="1:39" s="480" customFormat="1" ht="12.75" customHeight="1">
      <c r="A15" s="629" t="s">
        <v>470</v>
      </c>
      <c r="B15" s="587"/>
      <c r="C15" s="627" t="s">
        <v>469</v>
      </c>
      <c r="D15" s="322"/>
      <c r="E15" s="316">
        <v>315661.3</v>
      </c>
      <c r="F15" s="322">
        <v>303361.22179000004</v>
      </c>
      <c r="G15" s="322">
        <v>334408.09999999998</v>
      </c>
    </row>
    <row r="16" spans="1:39" s="626" customFormat="1" ht="26.25" customHeight="1">
      <c r="A16" s="629" t="s">
        <v>468</v>
      </c>
      <c r="B16" s="668"/>
      <c r="C16" s="627" t="s">
        <v>467</v>
      </c>
      <c r="D16" s="442"/>
      <c r="E16" s="443">
        <v>32877.199999999997</v>
      </c>
      <c r="F16" s="442">
        <v>151519.34031</v>
      </c>
      <c r="G16" s="442">
        <v>30029.7</v>
      </c>
    </row>
    <row r="17" spans="1:7" s="622" customFormat="1">
      <c r="A17" s="593">
        <v>37</v>
      </c>
      <c r="B17" s="587"/>
      <c r="C17" s="585" t="s">
        <v>448</v>
      </c>
      <c r="D17" s="431"/>
      <c r="E17" s="430">
        <v>460576.4</v>
      </c>
      <c r="F17" s="431">
        <v>482011.47336</v>
      </c>
      <c r="G17" s="431">
        <v>557492.19999999995</v>
      </c>
    </row>
    <row r="18" spans="1:7" s="622" customFormat="1">
      <c r="A18" s="617" t="s">
        <v>466</v>
      </c>
      <c r="B18" s="586"/>
      <c r="C18" s="616" t="s">
        <v>465</v>
      </c>
      <c r="D18" s="438"/>
      <c r="E18" s="430">
        <v>128500</v>
      </c>
      <c r="F18" s="438">
        <v>139842.72785</v>
      </c>
      <c r="G18" s="438">
        <v>220645.3</v>
      </c>
    </row>
    <row r="19" spans="1:7" s="622" customFormat="1">
      <c r="A19" s="617" t="s">
        <v>464</v>
      </c>
      <c r="B19" s="586"/>
      <c r="C19" s="616" t="s">
        <v>463</v>
      </c>
      <c r="D19" s="438"/>
      <c r="E19" s="430">
        <v>5230</v>
      </c>
      <c r="F19" s="438">
        <v>9188.3399000000009</v>
      </c>
      <c r="G19" s="438">
        <v>7850</v>
      </c>
    </row>
    <row r="20" spans="1:7" s="480" customFormat="1" ht="12.75" customHeight="1">
      <c r="A20" s="783">
        <v>39</v>
      </c>
      <c r="B20" s="614"/>
      <c r="C20" s="583" t="s">
        <v>447</v>
      </c>
      <c r="D20" s="333"/>
      <c r="E20" s="372">
        <v>7032.8</v>
      </c>
      <c r="F20" s="333">
        <v>7884.2986300000002</v>
      </c>
      <c r="G20" s="333">
        <v>4407.8999999999996</v>
      </c>
    </row>
    <row r="21" spans="1:7" ht="12.75" customHeight="1">
      <c r="A21" s="774"/>
      <c r="B21" s="578"/>
      <c r="C21" s="576" t="s">
        <v>462</v>
      </c>
      <c r="D21" s="380">
        <f>D4+D5+SUM(D8:D13)+D17</f>
        <v>0</v>
      </c>
      <c r="E21" s="380">
        <f>E4+E5+SUM(E8:E13)+E17</f>
        <v>8848134.7000000011</v>
      </c>
      <c r="F21" s="380">
        <f>F4+F5+SUM(F8:F13)+F17</f>
        <v>9349669.9932499994</v>
      </c>
      <c r="G21" s="380">
        <f>G4+G5+SUM(G8:G13)+G17</f>
        <v>9177433.0999999996</v>
      </c>
    </row>
    <row r="22" spans="1:7" s="771" customFormat="1" ht="12.75" customHeight="1">
      <c r="A22" s="597" t="s">
        <v>226</v>
      </c>
      <c r="B22" s="776"/>
      <c r="C22" s="589" t="s">
        <v>461</v>
      </c>
      <c r="D22" s="311"/>
      <c r="E22" s="310">
        <v>4756300</v>
      </c>
      <c r="F22" s="311">
        <v>5138878.5947000012</v>
      </c>
      <c r="G22" s="310">
        <v>4997775</v>
      </c>
    </row>
    <row r="23" spans="1:7" s="771" customFormat="1">
      <c r="A23" s="597" t="s">
        <v>224</v>
      </c>
      <c r="B23" s="776"/>
      <c r="C23" s="589" t="s">
        <v>460</v>
      </c>
      <c r="D23" s="311"/>
      <c r="E23" s="310">
        <v>643020</v>
      </c>
      <c r="F23" s="311">
        <v>704562.73071999999</v>
      </c>
      <c r="G23" s="310">
        <v>671220</v>
      </c>
    </row>
    <row r="24" spans="1:7" s="621" customFormat="1" ht="12.75" customHeight="1">
      <c r="A24" s="593">
        <v>41</v>
      </c>
      <c r="B24" s="587"/>
      <c r="C24" s="585" t="s">
        <v>459</v>
      </c>
      <c r="D24" s="317"/>
      <c r="E24" s="316">
        <v>97617.600000000006</v>
      </c>
      <c r="F24" s="317">
        <v>44046.857000000004</v>
      </c>
      <c r="G24" s="316">
        <v>37449.4</v>
      </c>
    </row>
    <row r="25" spans="1:7" s="480" customFormat="1" ht="12.75" customHeight="1">
      <c r="A25" s="732">
        <v>42</v>
      </c>
      <c r="B25" s="619"/>
      <c r="C25" s="585" t="s">
        <v>458</v>
      </c>
      <c r="D25" s="317"/>
      <c r="E25" s="316">
        <v>403047.2</v>
      </c>
      <c r="F25" s="317">
        <v>491159.80417000002</v>
      </c>
      <c r="G25" s="316">
        <v>424701.6</v>
      </c>
    </row>
    <row r="26" spans="1:7" s="618" customFormat="1" ht="12.75" customHeight="1">
      <c r="A26" s="597">
        <v>430</v>
      </c>
      <c r="B26" s="587"/>
      <c r="C26" s="585" t="s">
        <v>457</v>
      </c>
      <c r="D26" s="431"/>
      <c r="E26" s="430">
        <v>29791.7</v>
      </c>
      <c r="F26" s="431">
        <v>27248.617899999997</v>
      </c>
      <c r="G26" s="430">
        <v>19605.400000000001</v>
      </c>
    </row>
    <row r="27" spans="1:7" s="618" customFormat="1" ht="12.75" customHeight="1">
      <c r="A27" s="597">
        <v>431</v>
      </c>
      <c r="B27" s="587"/>
      <c r="C27" s="585" t="s">
        <v>456</v>
      </c>
      <c r="D27" s="431"/>
      <c r="E27" s="430">
        <v>0</v>
      </c>
      <c r="F27" s="431"/>
      <c r="G27" s="430">
        <v>0</v>
      </c>
    </row>
    <row r="28" spans="1:7" s="618" customFormat="1" ht="12.75" customHeight="1">
      <c r="A28" s="597">
        <v>432</v>
      </c>
      <c r="B28" s="587"/>
      <c r="C28" s="585" t="s">
        <v>455</v>
      </c>
      <c r="D28" s="431"/>
      <c r="E28" s="430">
        <v>0</v>
      </c>
      <c r="F28" s="431">
        <v>1878.29639</v>
      </c>
      <c r="G28" s="430">
        <v>0</v>
      </c>
    </row>
    <row r="29" spans="1:7" s="618" customFormat="1" ht="12.75" customHeight="1">
      <c r="A29" s="597">
        <v>439</v>
      </c>
      <c r="B29" s="587"/>
      <c r="C29" s="585" t="s">
        <v>454</v>
      </c>
      <c r="D29" s="431"/>
      <c r="E29" s="430">
        <v>12125</v>
      </c>
      <c r="F29" s="431">
        <v>18639.523699999998</v>
      </c>
      <c r="G29" s="430">
        <v>22490</v>
      </c>
    </row>
    <row r="30" spans="1:7" s="480" customFormat="1" ht="25.5">
      <c r="A30" s="597">
        <v>450</v>
      </c>
      <c r="B30" s="596"/>
      <c r="C30" s="589" t="s">
        <v>453</v>
      </c>
      <c r="D30" s="362"/>
      <c r="E30" s="361">
        <v>11970.3</v>
      </c>
      <c r="F30" s="362">
        <v>1197.09473</v>
      </c>
      <c r="G30" s="361">
        <v>19267.599999999999</v>
      </c>
    </row>
    <row r="31" spans="1:7" s="579" customFormat="1" ht="25.5">
      <c r="A31" s="597">
        <v>451</v>
      </c>
      <c r="B31" s="596"/>
      <c r="C31" s="589" t="s">
        <v>452</v>
      </c>
      <c r="D31" s="311"/>
      <c r="E31" s="316">
        <v>60751.4</v>
      </c>
      <c r="F31" s="311">
        <v>950</v>
      </c>
      <c r="G31" s="316">
        <v>61792.9</v>
      </c>
    </row>
    <row r="32" spans="1:7" s="480" customFormat="1" ht="12.75" customHeight="1">
      <c r="A32" s="593">
        <v>46</v>
      </c>
      <c r="B32" s="587"/>
      <c r="C32" s="585" t="s">
        <v>451</v>
      </c>
      <c r="D32" s="317"/>
      <c r="E32" s="316">
        <v>2226682.2999999998</v>
      </c>
      <c r="F32" s="317">
        <v>2338288.4166700002</v>
      </c>
      <c r="G32" s="316">
        <v>2222246.7000000002</v>
      </c>
    </row>
    <row r="33" spans="1:7" s="626" customFormat="1" ht="25.5">
      <c r="A33" s="629" t="s">
        <v>450</v>
      </c>
      <c r="B33" s="775"/>
      <c r="C33" s="627" t="s">
        <v>449</v>
      </c>
      <c r="D33" s="540"/>
      <c r="E33" s="743">
        <v>0</v>
      </c>
      <c r="F33" s="540"/>
      <c r="G33" s="743">
        <v>0</v>
      </c>
    </row>
    <row r="34" spans="1:7" s="480" customFormat="1" ht="15" customHeight="1">
      <c r="A34" s="593">
        <v>47</v>
      </c>
      <c r="B34" s="587"/>
      <c r="C34" s="585" t="s">
        <v>448</v>
      </c>
      <c r="D34" s="317"/>
      <c r="E34" s="316">
        <v>460576.4</v>
      </c>
      <c r="F34" s="317">
        <v>482011.47336</v>
      </c>
      <c r="G34" s="316">
        <v>557492.19999999995</v>
      </c>
    </row>
    <row r="35" spans="1:7" s="480" customFormat="1" ht="15" customHeight="1">
      <c r="A35" s="783">
        <v>49</v>
      </c>
      <c r="B35" s="614"/>
      <c r="C35" s="583" t="s">
        <v>447</v>
      </c>
      <c r="D35" s="333"/>
      <c r="E35" s="372">
        <v>7032.8</v>
      </c>
      <c r="F35" s="333">
        <v>7884.2986300000002</v>
      </c>
      <c r="G35" s="372">
        <v>4408</v>
      </c>
    </row>
    <row r="36" spans="1:7" ht="13.5" customHeight="1">
      <c r="A36" s="774"/>
      <c r="B36" s="606"/>
      <c r="C36" s="576" t="s">
        <v>446</v>
      </c>
      <c r="D36" s="380">
        <f>D22+D23+D24+D25+D26+D27+D28+D29+D30+D31+D32+D34</f>
        <v>0</v>
      </c>
      <c r="E36" s="380">
        <f>E22+E23+E24+E25+E26+E27+E28+E29+E30+E31+E32+E34</f>
        <v>8701881.9000000004</v>
      </c>
      <c r="F36" s="380">
        <f>F22+F23+F24+F25+F26+F27+F28+F29+F30+F31+F32+F34</f>
        <v>9248861.4093400016</v>
      </c>
      <c r="G36" s="380">
        <f>G22+G23+G24+G25+G26+G27+G28+G29+G30+G31+G32+G34</f>
        <v>9034040.8000000007</v>
      </c>
    </row>
    <row r="37" spans="1:7" s="667" customFormat="1" ht="15" customHeight="1">
      <c r="A37" s="774"/>
      <c r="B37" s="606"/>
      <c r="C37" s="576" t="s">
        <v>445</v>
      </c>
      <c r="D37" s="380">
        <f>D36-D21</f>
        <v>0</v>
      </c>
      <c r="E37" s="380">
        <f>E36-E21</f>
        <v>-146252.80000000075</v>
      </c>
      <c r="F37" s="380">
        <f>F36-F21</f>
        <v>-100808.58390999772</v>
      </c>
      <c r="G37" s="380">
        <f>G36-G21</f>
        <v>-143392.29999999888</v>
      </c>
    </row>
    <row r="38" spans="1:7" s="579" customFormat="1" ht="15" customHeight="1">
      <c r="A38" s="593">
        <v>340</v>
      </c>
      <c r="B38" s="587"/>
      <c r="C38" s="585" t="s">
        <v>444</v>
      </c>
      <c r="D38" s="317"/>
      <c r="E38" s="316">
        <v>63455.1</v>
      </c>
      <c r="F38" s="317">
        <v>33990.914549999994</v>
      </c>
      <c r="G38" s="316">
        <v>53161.8</v>
      </c>
    </row>
    <row r="39" spans="1:7" s="579" customFormat="1" ht="15" customHeight="1">
      <c r="A39" s="593">
        <v>341</v>
      </c>
      <c r="B39" s="587"/>
      <c r="C39" s="585" t="s">
        <v>443</v>
      </c>
      <c r="D39" s="317"/>
      <c r="E39" s="316">
        <v>-0.5</v>
      </c>
      <c r="F39" s="317">
        <v>-23.532340000000001</v>
      </c>
      <c r="G39" s="316">
        <v>0</v>
      </c>
    </row>
    <row r="40" spans="1:7" s="626" customFormat="1" ht="15" customHeight="1">
      <c r="A40" s="597">
        <v>342</v>
      </c>
      <c r="B40" s="776"/>
      <c r="C40" s="589" t="s">
        <v>442</v>
      </c>
      <c r="D40" s="311"/>
      <c r="E40" s="310">
        <v>5000</v>
      </c>
      <c r="F40" s="311">
        <v>5377.5146299999997</v>
      </c>
      <c r="G40" s="310">
        <v>5500</v>
      </c>
    </row>
    <row r="41" spans="1:7" s="579" customFormat="1" ht="15" customHeight="1">
      <c r="A41" s="593">
        <v>343</v>
      </c>
      <c r="B41" s="587"/>
      <c r="C41" s="585" t="s">
        <v>441</v>
      </c>
      <c r="D41" s="317"/>
      <c r="E41" s="316">
        <v>0</v>
      </c>
      <c r="F41" s="317"/>
      <c r="G41" s="316">
        <v>0</v>
      </c>
    </row>
    <row r="42" spans="1:7" s="626" customFormat="1" ht="15" customHeight="1">
      <c r="A42" s="597">
        <v>344</v>
      </c>
      <c r="B42" s="776"/>
      <c r="C42" s="589" t="s">
        <v>440</v>
      </c>
      <c r="D42" s="311"/>
      <c r="E42" s="310">
        <v>0.8</v>
      </c>
      <c r="F42" s="311">
        <v>0</v>
      </c>
      <c r="G42" s="310">
        <v>0.8</v>
      </c>
    </row>
    <row r="43" spans="1:7" s="579" customFormat="1" ht="15" customHeight="1">
      <c r="A43" s="593">
        <v>349</v>
      </c>
      <c r="B43" s="587"/>
      <c r="C43" s="585" t="s">
        <v>439</v>
      </c>
      <c r="D43" s="317"/>
      <c r="E43" s="316">
        <v>0</v>
      </c>
      <c r="F43" s="317">
        <v>-2.1851400000000001</v>
      </c>
      <c r="G43" s="316">
        <v>0</v>
      </c>
    </row>
    <row r="44" spans="1:7" s="480" customFormat="1" ht="15" customHeight="1">
      <c r="A44" s="593">
        <v>440</v>
      </c>
      <c r="B44" s="587"/>
      <c r="C44" s="585" t="s">
        <v>438</v>
      </c>
      <c r="D44" s="317"/>
      <c r="E44" s="316">
        <v>35883.699999999997</v>
      </c>
      <c r="F44" s="317">
        <v>70646.964500000002</v>
      </c>
      <c r="G44" s="316">
        <v>33960.5</v>
      </c>
    </row>
    <row r="45" spans="1:7" s="771" customFormat="1" ht="15" customHeight="1">
      <c r="A45" s="597">
        <v>441</v>
      </c>
      <c r="B45" s="776"/>
      <c r="C45" s="589" t="s">
        <v>437</v>
      </c>
      <c r="D45" s="311"/>
      <c r="E45" s="625">
        <v>0</v>
      </c>
      <c r="F45" s="311">
        <v>2184.5002000000004</v>
      </c>
      <c r="G45" s="625">
        <v>0</v>
      </c>
    </row>
    <row r="46" spans="1:7" s="771" customFormat="1" ht="15" customHeight="1">
      <c r="A46" s="597">
        <v>442</v>
      </c>
      <c r="B46" s="776"/>
      <c r="C46" s="589" t="s">
        <v>436</v>
      </c>
      <c r="D46" s="311"/>
      <c r="E46" s="310">
        <v>31875.5</v>
      </c>
      <c r="F46" s="311">
        <v>31876.425999999999</v>
      </c>
      <c r="G46" s="310">
        <v>31876.2</v>
      </c>
    </row>
    <row r="47" spans="1:7" s="480" customFormat="1" ht="15" customHeight="1">
      <c r="A47" s="593">
        <v>443</v>
      </c>
      <c r="B47" s="587"/>
      <c r="C47" s="585" t="s">
        <v>435</v>
      </c>
      <c r="D47" s="317"/>
      <c r="E47" s="594">
        <v>11034</v>
      </c>
      <c r="F47" s="317">
        <v>6014.0622699999994</v>
      </c>
      <c r="G47" s="594">
        <v>6996.3</v>
      </c>
    </row>
    <row r="48" spans="1:7" s="480" customFormat="1" ht="15" customHeight="1">
      <c r="A48" s="593">
        <v>444</v>
      </c>
      <c r="B48" s="587"/>
      <c r="C48" s="585" t="s">
        <v>434</v>
      </c>
      <c r="D48" s="317"/>
      <c r="E48" s="594">
        <v>0</v>
      </c>
      <c r="F48" s="317"/>
      <c r="G48" s="594">
        <v>0</v>
      </c>
    </row>
    <row r="49" spans="1:7" s="480" customFormat="1" ht="15" customHeight="1">
      <c r="A49" s="593">
        <v>445</v>
      </c>
      <c r="B49" s="587"/>
      <c r="C49" s="585" t="s">
        <v>433</v>
      </c>
      <c r="D49" s="317"/>
      <c r="E49" s="316">
        <v>119686</v>
      </c>
      <c r="F49" s="317">
        <v>114170.55525</v>
      </c>
      <c r="G49" s="316">
        <v>112215.1</v>
      </c>
    </row>
    <row r="50" spans="1:7" s="480" customFormat="1" ht="15" customHeight="1">
      <c r="A50" s="593">
        <v>446</v>
      </c>
      <c r="B50" s="587"/>
      <c r="C50" s="585" t="s">
        <v>432</v>
      </c>
      <c r="D50" s="317"/>
      <c r="E50" s="316">
        <v>51</v>
      </c>
      <c r="F50" s="317">
        <v>3610.4421000000002</v>
      </c>
      <c r="G50" s="316">
        <v>3400</v>
      </c>
    </row>
    <row r="51" spans="1:7" s="771" customFormat="1" ht="15" customHeight="1">
      <c r="A51" s="597">
        <v>447</v>
      </c>
      <c r="B51" s="776"/>
      <c r="C51" s="589" t="s">
        <v>431</v>
      </c>
      <c r="D51" s="311"/>
      <c r="E51" s="310">
        <v>40077.300000000003</v>
      </c>
      <c r="F51" s="311">
        <v>33147.588750000003</v>
      </c>
      <c r="G51" s="310">
        <v>39679.300000000003</v>
      </c>
    </row>
    <row r="52" spans="1:7" s="480" customFormat="1" ht="15" customHeight="1">
      <c r="A52" s="593">
        <v>448</v>
      </c>
      <c r="B52" s="587"/>
      <c r="C52" s="585" t="s">
        <v>430</v>
      </c>
      <c r="D52" s="317"/>
      <c r="E52" s="594">
        <v>190</v>
      </c>
      <c r="F52" s="317">
        <v>213.43110000000001</v>
      </c>
      <c r="G52" s="594">
        <v>118.4</v>
      </c>
    </row>
    <row r="53" spans="1:7" s="771" customFormat="1" ht="15" customHeight="1">
      <c r="A53" s="597">
        <v>449</v>
      </c>
      <c r="B53" s="776"/>
      <c r="C53" s="589" t="s">
        <v>429</v>
      </c>
      <c r="D53" s="311"/>
      <c r="E53" s="625">
        <v>0</v>
      </c>
      <c r="F53" s="311">
        <v>0</v>
      </c>
      <c r="G53" s="625">
        <v>0</v>
      </c>
    </row>
    <row r="54" spans="1:7" s="579" customFormat="1" ht="13.5" customHeight="1">
      <c r="A54" s="607" t="s">
        <v>428</v>
      </c>
      <c r="B54" s="580"/>
      <c r="C54" s="580" t="s">
        <v>427</v>
      </c>
      <c r="D54" s="300"/>
      <c r="E54" s="779">
        <v>0</v>
      </c>
      <c r="F54" s="300">
        <v>0</v>
      </c>
      <c r="G54" s="779">
        <v>0</v>
      </c>
    </row>
    <row r="55" spans="1:7" ht="15" customHeight="1">
      <c r="A55" s="778"/>
      <c r="B55" s="606"/>
      <c r="C55" s="576" t="s">
        <v>426</v>
      </c>
      <c r="D55" s="380">
        <f>SUM(D44:D53)-SUM(D38:D43)</f>
        <v>0</v>
      </c>
      <c r="E55" s="380">
        <f>SUM(E44:E53)-SUM(E38:E43)</f>
        <v>170342.09999999998</v>
      </c>
      <c r="F55" s="380">
        <f>SUM(F44:F53)-SUM(F38:F43)</f>
        <v>222521.25847</v>
      </c>
      <c r="G55" s="380">
        <f>SUM(G44:G53)-SUM(G38:G43)</f>
        <v>169583.2</v>
      </c>
    </row>
    <row r="56" spans="1:7" ht="14.25" customHeight="1">
      <c r="A56" s="778"/>
      <c r="B56" s="606"/>
      <c r="C56" s="576" t="s">
        <v>425</v>
      </c>
      <c r="D56" s="380">
        <f>D55+D37</f>
        <v>0</v>
      </c>
      <c r="E56" s="380">
        <f>E55+E37</f>
        <v>24089.299999999232</v>
      </c>
      <c r="F56" s="380">
        <f>F55+F37</f>
        <v>121712.67456000228</v>
      </c>
      <c r="G56" s="380">
        <f>G55+G37</f>
        <v>26190.900000001129</v>
      </c>
    </row>
    <row r="57" spans="1:7" s="480" customFormat="1" ht="15.75" customHeight="1">
      <c r="A57" s="777">
        <v>380</v>
      </c>
      <c r="B57" s="604"/>
      <c r="C57" s="603" t="s">
        <v>424</v>
      </c>
      <c r="D57" s="735"/>
      <c r="E57" s="601">
        <v>0</v>
      </c>
      <c r="F57" s="735">
        <v>4.734E-2</v>
      </c>
      <c r="G57" s="601">
        <v>0</v>
      </c>
    </row>
    <row r="58" spans="1:7" s="480" customFormat="1" ht="15.75" customHeight="1">
      <c r="A58" s="777">
        <v>381</v>
      </c>
      <c r="B58" s="604"/>
      <c r="C58" s="603" t="s">
        <v>423</v>
      </c>
      <c r="D58" s="735"/>
      <c r="E58" s="601">
        <v>0</v>
      </c>
      <c r="F58" s="735">
        <v>106.61660999999999</v>
      </c>
      <c r="G58" s="601">
        <v>0</v>
      </c>
    </row>
    <row r="59" spans="1:7" s="579" customFormat="1" ht="27.6" customHeight="1">
      <c r="A59" s="597">
        <v>383</v>
      </c>
      <c r="B59" s="596"/>
      <c r="C59" s="589" t="s">
        <v>422</v>
      </c>
      <c r="D59" s="343"/>
      <c r="E59" s="342">
        <v>0</v>
      </c>
      <c r="F59" s="343">
        <v>0</v>
      </c>
      <c r="G59" s="342">
        <v>0</v>
      </c>
    </row>
    <row r="60" spans="1:7" s="579" customFormat="1">
      <c r="A60" s="597">
        <v>3840</v>
      </c>
      <c r="B60" s="596"/>
      <c r="C60" s="589" t="s">
        <v>421</v>
      </c>
      <c r="D60" s="401"/>
      <c r="E60" s="400">
        <v>0</v>
      </c>
      <c r="F60" s="401">
        <v>7.34755</v>
      </c>
      <c r="G60" s="400">
        <v>0</v>
      </c>
    </row>
    <row r="61" spans="1:7" s="579" customFormat="1" ht="26.45" customHeight="1">
      <c r="A61" s="597">
        <v>3841</v>
      </c>
      <c r="B61" s="596"/>
      <c r="C61" s="589" t="s">
        <v>420</v>
      </c>
      <c r="D61" s="401"/>
      <c r="E61" s="400">
        <v>0</v>
      </c>
      <c r="F61" s="401">
        <v>46.271900000000002</v>
      </c>
      <c r="G61" s="400">
        <v>0</v>
      </c>
    </row>
    <row r="62" spans="1:7" s="579" customFormat="1">
      <c r="A62" s="600">
        <v>386</v>
      </c>
      <c r="B62" s="599"/>
      <c r="C62" s="598" t="s">
        <v>419</v>
      </c>
      <c r="D62" s="401"/>
      <c r="E62" s="400">
        <v>0</v>
      </c>
      <c r="F62" s="401"/>
      <c r="G62" s="400">
        <v>0</v>
      </c>
    </row>
    <row r="63" spans="1:7" s="579" customFormat="1" ht="27.6" customHeight="1">
      <c r="A63" s="597">
        <v>387</v>
      </c>
      <c r="B63" s="596"/>
      <c r="C63" s="589" t="s">
        <v>418</v>
      </c>
      <c r="D63" s="401"/>
      <c r="E63" s="400">
        <v>0</v>
      </c>
      <c r="F63" s="401"/>
      <c r="G63" s="400">
        <v>0</v>
      </c>
    </row>
    <row r="64" spans="1:7" s="579" customFormat="1">
      <c r="A64" s="593">
        <v>389</v>
      </c>
      <c r="B64" s="592"/>
      <c r="C64" s="585" t="s">
        <v>417</v>
      </c>
      <c r="D64" s="317"/>
      <c r="E64" s="316">
        <v>0</v>
      </c>
      <c r="F64" s="317">
        <v>120950</v>
      </c>
      <c r="G64" s="316">
        <v>0</v>
      </c>
    </row>
    <row r="65" spans="1:7" s="771" customFormat="1">
      <c r="A65" s="597" t="s">
        <v>181</v>
      </c>
      <c r="B65" s="776"/>
      <c r="C65" s="589" t="s">
        <v>416</v>
      </c>
      <c r="D65" s="311"/>
      <c r="E65" s="310">
        <v>0</v>
      </c>
      <c r="F65" s="311"/>
      <c r="G65" s="310">
        <v>0</v>
      </c>
    </row>
    <row r="66" spans="1:7" s="588" customFormat="1" ht="25.5">
      <c r="A66" s="597" t="s">
        <v>179</v>
      </c>
      <c r="B66" s="590"/>
      <c r="C66" s="589" t="s">
        <v>415</v>
      </c>
      <c r="D66" s="343"/>
      <c r="E66" s="342">
        <v>0</v>
      </c>
      <c r="F66" s="343"/>
      <c r="G66" s="342">
        <v>0</v>
      </c>
    </row>
    <row r="67" spans="1:7" s="480" customFormat="1">
      <c r="A67" s="597">
        <v>481</v>
      </c>
      <c r="B67" s="587"/>
      <c r="C67" s="585" t="s">
        <v>414</v>
      </c>
      <c r="D67" s="317"/>
      <c r="E67" s="316">
        <v>0</v>
      </c>
      <c r="F67" s="317"/>
      <c r="G67" s="316">
        <v>0</v>
      </c>
    </row>
    <row r="68" spans="1:7" s="480" customFormat="1">
      <c r="A68" s="597">
        <v>482</v>
      </c>
      <c r="B68" s="587"/>
      <c r="C68" s="585" t="s">
        <v>413</v>
      </c>
      <c r="D68" s="317"/>
      <c r="E68" s="316">
        <v>0</v>
      </c>
      <c r="F68" s="317"/>
      <c r="G68" s="316">
        <v>0</v>
      </c>
    </row>
    <row r="69" spans="1:7" s="480" customFormat="1">
      <c r="A69" s="597">
        <v>483</v>
      </c>
      <c r="B69" s="587"/>
      <c r="C69" s="585" t="s">
        <v>412</v>
      </c>
      <c r="D69" s="317"/>
      <c r="E69" s="316">
        <v>0</v>
      </c>
      <c r="F69" s="317">
        <v>14187.925070000001</v>
      </c>
      <c r="G69" s="316">
        <v>0</v>
      </c>
    </row>
    <row r="70" spans="1:7" s="480" customFormat="1">
      <c r="A70" s="597">
        <v>484</v>
      </c>
      <c r="B70" s="587"/>
      <c r="C70" s="585" t="s">
        <v>411</v>
      </c>
      <c r="D70" s="317"/>
      <c r="E70" s="316">
        <v>0</v>
      </c>
      <c r="F70" s="317">
        <v>57622.561549999999</v>
      </c>
      <c r="G70" s="316">
        <v>0</v>
      </c>
    </row>
    <row r="71" spans="1:7" s="771" customFormat="1" ht="25.5">
      <c r="A71" s="597">
        <v>485</v>
      </c>
      <c r="B71" s="776"/>
      <c r="C71" s="589" t="s">
        <v>410</v>
      </c>
      <c r="D71" s="311"/>
      <c r="E71" s="310">
        <v>0</v>
      </c>
      <c r="F71" s="311">
        <v>0</v>
      </c>
      <c r="G71" s="310">
        <v>0</v>
      </c>
    </row>
    <row r="72" spans="1:7" s="480" customFormat="1">
      <c r="A72" s="597">
        <v>486</v>
      </c>
      <c r="B72" s="587"/>
      <c r="C72" s="585" t="s">
        <v>409</v>
      </c>
      <c r="D72" s="317"/>
      <c r="E72" s="316">
        <v>0</v>
      </c>
      <c r="F72" s="317">
        <v>4737.5196500000002</v>
      </c>
      <c r="G72" s="316">
        <v>0</v>
      </c>
    </row>
    <row r="73" spans="1:7" s="626" customFormat="1" ht="25.5">
      <c r="A73" s="597">
        <v>487</v>
      </c>
      <c r="B73" s="775"/>
      <c r="C73" s="589" t="s">
        <v>408</v>
      </c>
      <c r="D73" s="311"/>
      <c r="E73" s="310">
        <v>0</v>
      </c>
      <c r="F73" s="311"/>
      <c r="G73" s="310">
        <v>0</v>
      </c>
    </row>
    <row r="74" spans="1:7" s="579" customFormat="1" ht="15" customHeight="1">
      <c r="A74" s="597">
        <v>489</v>
      </c>
      <c r="B74" s="581"/>
      <c r="C74" s="583" t="s">
        <v>407</v>
      </c>
      <c r="D74" s="311"/>
      <c r="E74" s="310">
        <v>0</v>
      </c>
      <c r="F74" s="311">
        <v>4036.14716</v>
      </c>
      <c r="G74" s="310">
        <v>0</v>
      </c>
    </row>
    <row r="75" spans="1:7" s="579" customFormat="1">
      <c r="A75" s="582" t="s">
        <v>406</v>
      </c>
      <c r="B75" s="581"/>
      <c r="C75" s="580" t="s">
        <v>405</v>
      </c>
      <c r="D75" s="317"/>
      <c r="E75" s="316">
        <v>0</v>
      </c>
      <c r="F75" s="317">
        <v>0</v>
      </c>
      <c r="G75" s="316">
        <v>0</v>
      </c>
    </row>
    <row r="76" spans="1:7">
      <c r="A76" s="774"/>
      <c r="B76" s="578"/>
      <c r="C76" s="576" t="s">
        <v>404</v>
      </c>
      <c r="D76" s="380">
        <f>SUM(D65:D74)-SUM(D57:D64)</f>
        <v>0</v>
      </c>
      <c r="E76" s="380">
        <f>SUM(E65:E74)-SUM(E57:E64)</f>
        <v>0</v>
      </c>
      <c r="F76" s="380">
        <f>SUM(F65:F74)-SUM(F57:F64)</f>
        <v>-40526.129970000009</v>
      </c>
      <c r="G76" s="380">
        <f>SUM(G65:G74)-SUM(G57:G64)</f>
        <v>0</v>
      </c>
    </row>
    <row r="77" spans="1:7">
      <c r="A77" s="773"/>
      <c r="B77" s="577"/>
      <c r="C77" s="576" t="s">
        <v>403</v>
      </c>
      <c r="D77" s="380">
        <f>D56+D76</f>
        <v>0</v>
      </c>
      <c r="E77" s="380">
        <f>E56+E76</f>
        <v>24089.299999999232</v>
      </c>
      <c r="F77" s="380">
        <f>F56+F76</f>
        <v>81186.544590002275</v>
      </c>
      <c r="G77" s="831">
        <f>G56+G76</f>
        <v>26190.900000001129</v>
      </c>
    </row>
    <row r="78" spans="1:7">
      <c r="A78" s="772">
        <v>3</v>
      </c>
      <c r="B78" s="575"/>
      <c r="C78" s="574" t="s">
        <v>165</v>
      </c>
      <c r="D78" s="377">
        <f>D20+D21+SUM(D38:D43)+SUM(D57:D64)</f>
        <v>0</v>
      </c>
      <c r="E78" s="377">
        <f>E20+E21+SUM(E38:E43)+SUM(E57:E64)</f>
        <v>8923622.9000000022</v>
      </c>
      <c r="F78" s="377">
        <f>F20+F21+SUM(F38:F43)+SUM(F57:F64)</f>
        <v>9518007.2869799975</v>
      </c>
      <c r="G78" s="377">
        <f>G20+G21+SUM(G38:G43)+SUM(G57:G64)</f>
        <v>9240503.5999999996</v>
      </c>
    </row>
    <row r="79" spans="1:7">
      <c r="A79" s="772">
        <v>4</v>
      </c>
      <c r="B79" s="575"/>
      <c r="C79" s="574" t="s">
        <v>164</v>
      </c>
      <c r="D79" s="377">
        <f>D35+D36+SUM(D44:D53)+SUM(D65:D74)</f>
        <v>0</v>
      </c>
      <c r="E79" s="377">
        <f>E35+E36+SUM(E44:E53)+SUM(E65:E74)</f>
        <v>8947712.2000000011</v>
      </c>
      <c r="F79" s="377">
        <f>F35+F36+SUM(F44:F53)+SUM(F65:F74)</f>
        <v>9599193.8315700013</v>
      </c>
      <c r="G79" s="377">
        <f>G35+G36+SUM(G44:G53)+SUM(G65:G74)</f>
        <v>9266694.6000000015</v>
      </c>
    </row>
    <row r="80" spans="1:7">
      <c r="A80" s="762"/>
      <c r="B80" s="534"/>
      <c r="C80" s="533"/>
      <c r="D80" s="260"/>
      <c r="E80" s="260"/>
      <c r="F80" s="260"/>
      <c r="G80" s="260"/>
    </row>
    <row r="81" spans="1:7">
      <c r="A81" s="951" t="s">
        <v>402</v>
      </c>
      <c r="B81" s="952"/>
      <c r="C81" s="952"/>
      <c r="D81" s="376"/>
      <c r="E81" s="376"/>
      <c r="F81" s="376"/>
      <c r="G81" s="376"/>
    </row>
    <row r="82" spans="1:7" s="480" customFormat="1">
      <c r="A82" s="567">
        <v>50</v>
      </c>
      <c r="B82" s="565"/>
      <c r="C82" s="565" t="s">
        <v>401</v>
      </c>
      <c r="D82" s="317"/>
      <c r="E82" s="316">
        <v>388763</v>
      </c>
      <c r="F82" s="317">
        <v>263292.29571000003</v>
      </c>
      <c r="G82" s="316">
        <v>453049</v>
      </c>
    </row>
    <row r="83" spans="1:7" s="480" customFormat="1">
      <c r="A83" s="567">
        <v>51</v>
      </c>
      <c r="B83" s="565"/>
      <c r="C83" s="565" t="s">
        <v>400</v>
      </c>
      <c r="D83" s="317"/>
      <c r="E83" s="369"/>
      <c r="F83" s="317"/>
      <c r="G83" s="316">
        <v>0</v>
      </c>
    </row>
    <row r="84" spans="1:7" s="480" customFormat="1">
      <c r="A84" s="567">
        <v>52</v>
      </c>
      <c r="B84" s="565"/>
      <c r="C84" s="565" t="s">
        <v>399</v>
      </c>
      <c r="D84" s="317"/>
      <c r="E84" s="369"/>
      <c r="F84" s="317">
        <v>22618.978070000001</v>
      </c>
      <c r="G84" s="316">
        <v>0</v>
      </c>
    </row>
    <row r="85" spans="1:7" s="480" customFormat="1">
      <c r="A85" s="571">
        <v>54</v>
      </c>
      <c r="B85" s="570"/>
      <c r="C85" s="570" t="s">
        <v>363</v>
      </c>
      <c r="D85" s="322"/>
      <c r="E85" s="369"/>
      <c r="F85" s="322">
        <v>17948.349999999999</v>
      </c>
      <c r="G85" s="316">
        <v>0</v>
      </c>
    </row>
    <row r="86" spans="1:7" s="480" customFormat="1">
      <c r="A86" s="571">
        <v>55</v>
      </c>
      <c r="B86" s="570"/>
      <c r="C86" s="570" t="s">
        <v>398</v>
      </c>
      <c r="D86" s="322"/>
      <c r="E86" s="369"/>
      <c r="F86" s="322">
        <v>17000.2</v>
      </c>
      <c r="G86" s="316">
        <v>0</v>
      </c>
    </row>
    <row r="87" spans="1:7" s="480" customFormat="1">
      <c r="A87" s="571">
        <v>56</v>
      </c>
      <c r="B87" s="570"/>
      <c r="C87" s="570" t="s">
        <v>397</v>
      </c>
      <c r="D87" s="322"/>
      <c r="E87" s="369"/>
      <c r="F87" s="322">
        <v>49267.563969999996</v>
      </c>
      <c r="G87" s="316">
        <v>0</v>
      </c>
    </row>
    <row r="88" spans="1:7" s="480" customFormat="1">
      <c r="A88" s="567">
        <v>57</v>
      </c>
      <c r="B88" s="565"/>
      <c r="C88" s="565" t="s">
        <v>382</v>
      </c>
      <c r="D88" s="317"/>
      <c r="E88" s="369"/>
      <c r="F88" s="317">
        <v>6088.3230000000003</v>
      </c>
      <c r="G88" s="316">
        <v>0</v>
      </c>
    </row>
    <row r="89" spans="1:7" s="771" customFormat="1" ht="25.5">
      <c r="A89" s="566">
        <v>580</v>
      </c>
      <c r="B89" s="564"/>
      <c r="C89" s="564" t="s">
        <v>396</v>
      </c>
      <c r="D89" s="311"/>
      <c r="E89" s="756"/>
      <c r="F89" s="311"/>
      <c r="G89" s="310">
        <v>0</v>
      </c>
    </row>
    <row r="90" spans="1:7" s="771" customFormat="1" ht="25.5">
      <c r="A90" s="566">
        <v>582</v>
      </c>
      <c r="B90" s="564"/>
      <c r="C90" s="564" t="s">
        <v>395</v>
      </c>
      <c r="D90" s="311"/>
      <c r="E90" s="756"/>
      <c r="F90" s="311"/>
      <c r="G90" s="310">
        <v>0</v>
      </c>
    </row>
    <row r="91" spans="1:7" s="480" customFormat="1">
      <c r="A91" s="567">
        <v>584</v>
      </c>
      <c r="B91" s="565"/>
      <c r="C91" s="565" t="s">
        <v>394</v>
      </c>
      <c r="D91" s="317"/>
      <c r="E91" s="369"/>
      <c r="F91" s="317"/>
      <c r="G91" s="316">
        <v>0</v>
      </c>
    </row>
    <row r="92" spans="1:7" s="771" customFormat="1" ht="25.5">
      <c r="A92" s="566">
        <v>585</v>
      </c>
      <c r="B92" s="564"/>
      <c r="C92" s="564" t="s">
        <v>393</v>
      </c>
      <c r="D92" s="311"/>
      <c r="E92" s="756"/>
      <c r="F92" s="311"/>
      <c r="G92" s="310">
        <v>0</v>
      </c>
    </row>
    <row r="93" spans="1:7" s="480" customFormat="1">
      <c r="A93" s="567">
        <v>586</v>
      </c>
      <c r="B93" s="565"/>
      <c r="C93" s="565" t="s">
        <v>392</v>
      </c>
      <c r="D93" s="317"/>
      <c r="E93" s="369"/>
      <c r="F93" s="317"/>
      <c r="G93" s="316">
        <v>0</v>
      </c>
    </row>
    <row r="94" spans="1:7" s="480" customFormat="1">
      <c r="A94" s="568">
        <v>589</v>
      </c>
      <c r="B94" s="561"/>
      <c r="C94" s="561" t="s">
        <v>391</v>
      </c>
      <c r="D94" s="333"/>
      <c r="E94" s="373"/>
      <c r="F94" s="333"/>
      <c r="G94" s="372">
        <v>0</v>
      </c>
    </row>
    <row r="95" spans="1:7">
      <c r="A95" s="557">
        <v>5</v>
      </c>
      <c r="B95" s="555"/>
      <c r="C95" s="555" t="s">
        <v>390</v>
      </c>
      <c r="D95" s="348">
        <f>SUM(D82:D94)</f>
        <v>0</v>
      </c>
      <c r="E95" s="348">
        <f>SUM(E82:E94)</f>
        <v>388763</v>
      </c>
      <c r="F95" s="348">
        <f>SUM(F82:F94)</f>
        <v>376215.71075000003</v>
      </c>
      <c r="G95" s="348">
        <f>SUM(G82:G94)</f>
        <v>453049</v>
      </c>
    </row>
    <row r="96" spans="1:7" s="771" customFormat="1" ht="25.5">
      <c r="A96" s="566">
        <v>60</v>
      </c>
      <c r="B96" s="564"/>
      <c r="C96" s="564" t="s">
        <v>389</v>
      </c>
      <c r="D96" s="311"/>
      <c r="E96" s="310">
        <v>19543</v>
      </c>
      <c r="F96" s="311"/>
      <c r="G96" s="310">
        <v>31575</v>
      </c>
    </row>
    <row r="97" spans="1:7" s="771" customFormat="1" ht="25.5">
      <c r="A97" s="566">
        <v>61</v>
      </c>
      <c r="B97" s="564"/>
      <c r="C97" s="564" t="s">
        <v>388</v>
      </c>
      <c r="D97" s="311"/>
      <c r="E97" s="756"/>
      <c r="F97" s="311"/>
      <c r="G97" s="310"/>
    </row>
    <row r="98" spans="1:7" s="480" customFormat="1">
      <c r="A98" s="567">
        <v>62</v>
      </c>
      <c r="B98" s="565"/>
      <c r="C98" s="565" t="s">
        <v>387</v>
      </c>
      <c r="D98" s="317"/>
      <c r="E98" s="369"/>
      <c r="F98" s="317"/>
      <c r="G98" s="316"/>
    </row>
    <row r="99" spans="1:7" s="480" customFormat="1">
      <c r="A99" s="567">
        <v>63</v>
      </c>
      <c r="B99" s="565"/>
      <c r="C99" s="565" t="s">
        <v>386</v>
      </c>
      <c r="D99" s="317"/>
      <c r="E99" s="369"/>
      <c r="F99" s="317">
        <v>2123.2622299999998</v>
      </c>
      <c r="G99" s="316"/>
    </row>
    <row r="100" spans="1:7" s="480" customFormat="1">
      <c r="A100" s="567">
        <v>64</v>
      </c>
      <c r="B100" s="565"/>
      <c r="C100" s="565" t="s">
        <v>385</v>
      </c>
      <c r="D100" s="317"/>
      <c r="E100" s="369"/>
      <c r="F100" s="317">
        <v>24276.759550000002</v>
      </c>
      <c r="G100" s="316"/>
    </row>
    <row r="101" spans="1:7" s="480" customFormat="1">
      <c r="A101" s="567">
        <v>65</v>
      </c>
      <c r="B101" s="565"/>
      <c r="C101" s="565" t="s">
        <v>384</v>
      </c>
      <c r="D101" s="317"/>
      <c r="E101" s="369"/>
      <c r="F101" s="317">
        <v>360.5</v>
      </c>
      <c r="G101" s="316"/>
    </row>
    <row r="102" spans="1:7" s="771" customFormat="1">
      <c r="A102" s="566">
        <v>66</v>
      </c>
      <c r="B102" s="564"/>
      <c r="C102" s="564" t="s">
        <v>383</v>
      </c>
      <c r="D102" s="311"/>
      <c r="E102" s="756"/>
      <c r="F102" s="311">
        <v>53.323</v>
      </c>
      <c r="G102" s="310"/>
    </row>
    <row r="103" spans="1:7" s="480" customFormat="1">
      <c r="A103" s="567">
        <v>67</v>
      </c>
      <c r="B103" s="565"/>
      <c r="C103" s="565" t="s">
        <v>382</v>
      </c>
      <c r="D103" s="317"/>
      <c r="E103" s="363"/>
      <c r="F103" s="317">
        <v>6088.3230000000003</v>
      </c>
      <c r="G103" s="361"/>
    </row>
    <row r="104" spans="1:7" s="480" customFormat="1" ht="38.25">
      <c r="A104" s="566" t="s">
        <v>142</v>
      </c>
      <c r="B104" s="565"/>
      <c r="C104" s="564" t="s">
        <v>381</v>
      </c>
      <c r="D104" s="317"/>
      <c r="E104" s="369"/>
      <c r="F104" s="317"/>
      <c r="G104" s="316"/>
    </row>
    <row r="105" spans="1:7" s="480" customFormat="1" ht="56.45" customHeight="1">
      <c r="A105" s="562" t="s">
        <v>380</v>
      </c>
      <c r="B105" s="561"/>
      <c r="C105" s="560" t="s">
        <v>379</v>
      </c>
      <c r="D105" s="333"/>
      <c r="E105" s="373"/>
      <c r="F105" s="333"/>
      <c r="G105" s="372"/>
    </row>
    <row r="106" spans="1:7">
      <c r="A106" s="557">
        <v>6</v>
      </c>
      <c r="B106" s="555"/>
      <c r="C106" s="555" t="s">
        <v>378</v>
      </c>
      <c r="D106" s="348">
        <f>SUM(D96:D105)</f>
        <v>0</v>
      </c>
      <c r="E106" s="348">
        <f>SUM(E96:E105)</f>
        <v>19543</v>
      </c>
      <c r="F106" s="348">
        <f>SUM(F96:F105)</f>
        <v>32902.167780000003</v>
      </c>
      <c r="G106" s="348">
        <f>SUM(G96:G105)</f>
        <v>31575</v>
      </c>
    </row>
    <row r="107" spans="1:7">
      <c r="A107" s="770" t="s">
        <v>137</v>
      </c>
      <c r="B107" s="556"/>
      <c r="C107" s="555" t="s">
        <v>4</v>
      </c>
      <c r="D107" s="348">
        <f>(D95-D88)-(D106-D103)</f>
        <v>0</v>
      </c>
      <c r="E107" s="348">
        <f>(E95-E88)-(E106-E103)</f>
        <v>369220</v>
      </c>
      <c r="F107" s="348">
        <f>(F95-F88)-(F106-F103)</f>
        <v>343313.54297000007</v>
      </c>
      <c r="G107" s="348">
        <f>(G95-G88)-(G106-G103)</f>
        <v>421474</v>
      </c>
    </row>
    <row r="108" spans="1:7">
      <c r="A108" s="769" t="s">
        <v>136</v>
      </c>
      <c r="B108" s="554"/>
      <c r="C108" s="553" t="s">
        <v>377</v>
      </c>
      <c r="D108" s="348">
        <f>D107-D85-D86+D100+D101</f>
        <v>0</v>
      </c>
      <c r="E108" s="348">
        <f>E107-E85-E86+E100+E101</f>
        <v>369220</v>
      </c>
      <c r="F108" s="348">
        <f>F107-F85-F86+F100+F101</f>
        <v>333002.2525200001</v>
      </c>
      <c r="G108" s="348">
        <f>G107-G85-G86+G100+G101</f>
        <v>421474</v>
      </c>
    </row>
    <row r="109" spans="1:7">
      <c r="A109" s="762"/>
      <c r="B109" s="534"/>
      <c r="C109" s="533"/>
      <c r="D109" s="260"/>
      <c r="E109" s="260"/>
      <c r="F109" s="260"/>
      <c r="G109" s="260"/>
    </row>
    <row r="110" spans="1:7" s="512" customFormat="1">
      <c r="A110" s="768" t="s">
        <v>376</v>
      </c>
      <c r="B110" s="551"/>
      <c r="C110" s="550"/>
      <c r="D110" s="260"/>
      <c r="E110" s="260"/>
      <c r="F110" s="260"/>
      <c r="G110" s="260"/>
    </row>
    <row r="111" spans="1:7" s="516" customFormat="1">
      <c r="A111" s="761">
        <v>10</v>
      </c>
      <c r="B111" s="531"/>
      <c r="C111" s="531" t="s">
        <v>375</v>
      </c>
      <c r="D111" s="327">
        <f>D112+D117</f>
        <v>0</v>
      </c>
      <c r="E111" s="326">
        <f>E112+E117</f>
        <v>0</v>
      </c>
      <c r="F111" s="327">
        <f>F112+F117</f>
        <v>5714263.5274799997</v>
      </c>
      <c r="G111" s="326">
        <f>G112+G117</f>
        <v>0</v>
      </c>
    </row>
    <row r="112" spans="1:7" s="516" customFormat="1">
      <c r="A112" s="539" t="s">
        <v>132</v>
      </c>
      <c r="B112" s="519"/>
      <c r="C112" s="519" t="s">
        <v>374</v>
      </c>
      <c r="D112" s="327">
        <f>D113+D114+D115+D116</f>
        <v>0</v>
      </c>
      <c r="E112" s="326">
        <f>E113+E114+E115+E116</f>
        <v>0</v>
      </c>
      <c r="F112" s="327">
        <f>F113+F114+F115+F116</f>
        <v>5475423.6482799994</v>
      </c>
      <c r="G112" s="326">
        <f>G113+G114+G115+G116</f>
        <v>0</v>
      </c>
    </row>
    <row r="113" spans="1:7" s="516" customFormat="1">
      <c r="A113" s="537" t="s">
        <v>130</v>
      </c>
      <c r="B113" s="526"/>
      <c r="C113" s="526" t="s">
        <v>373</v>
      </c>
      <c r="D113" s="317"/>
      <c r="E113" s="316"/>
      <c r="F113" s="317">
        <v>4514723.7882399997</v>
      </c>
      <c r="G113" s="316"/>
    </row>
    <row r="114" spans="1:7" s="546" customFormat="1" ht="15" customHeight="1">
      <c r="A114" s="524">
        <v>102</v>
      </c>
      <c r="B114" s="665"/>
      <c r="C114" s="665" t="s">
        <v>372</v>
      </c>
      <c r="D114" s="343"/>
      <c r="E114" s="342"/>
      <c r="F114" s="343">
        <v>500000</v>
      </c>
      <c r="G114" s="342"/>
    </row>
    <row r="115" spans="1:7" s="516" customFormat="1">
      <c r="A115" s="537">
        <v>104</v>
      </c>
      <c r="B115" s="526"/>
      <c r="C115" s="526" t="s">
        <v>371</v>
      </c>
      <c r="D115" s="317"/>
      <c r="E115" s="316"/>
      <c r="F115" s="317">
        <v>427801.65269000002</v>
      </c>
      <c r="G115" s="316"/>
    </row>
    <row r="116" spans="1:7" s="516" customFormat="1">
      <c r="A116" s="537">
        <v>106</v>
      </c>
      <c r="B116" s="526"/>
      <c r="C116" s="526" t="s">
        <v>370</v>
      </c>
      <c r="D116" s="317"/>
      <c r="E116" s="316"/>
      <c r="F116" s="317">
        <v>32898.207350000004</v>
      </c>
      <c r="G116" s="316"/>
    </row>
    <row r="117" spans="1:7" s="516" customFormat="1">
      <c r="A117" s="539" t="s">
        <v>125</v>
      </c>
      <c r="B117" s="519"/>
      <c r="C117" s="519" t="s">
        <v>369</v>
      </c>
      <c r="D117" s="327">
        <f>D118+D119+D120</f>
        <v>0</v>
      </c>
      <c r="E117" s="326">
        <f>E118+E119+E120</f>
        <v>0</v>
      </c>
      <c r="F117" s="327">
        <f>F118+F119+F120</f>
        <v>238839.87919999997</v>
      </c>
      <c r="G117" s="326">
        <f>G118+G119+G120</f>
        <v>0</v>
      </c>
    </row>
    <row r="118" spans="1:7" s="516" customFormat="1">
      <c r="A118" s="537">
        <v>107</v>
      </c>
      <c r="B118" s="526"/>
      <c r="C118" s="526" t="s">
        <v>368</v>
      </c>
      <c r="D118" s="317"/>
      <c r="E118" s="316"/>
      <c r="F118" s="317">
        <v>195769.41134999998</v>
      </c>
      <c r="G118" s="316"/>
    </row>
    <row r="119" spans="1:7" s="516" customFormat="1">
      <c r="A119" s="537">
        <v>108</v>
      </c>
      <c r="B119" s="526"/>
      <c r="C119" s="526" t="s">
        <v>367</v>
      </c>
      <c r="D119" s="317"/>
      <c r="E119" s="316"/>
      <c r="F119" s="317">
        <v>43070.467850000001</v>
      </c>
      <c r="G119" s="316"/>
    </row>
    <row r="120" spans="1:7" s="538" customFormat="1" ht="25.5">
      <c r="A120" s="524">
        <v>109</v>
      </c>
      <c r="B120" s="523"/>
      <c r="C120" s="523" t="s">
        <v>366</v>
      </c>
      <c r="D120" s="311"/>
      <c r="E120" s="310"/>
      <c r="F120" s="311">
        <v>0</v>
      </c>
      <c r="G120" s="310"/>
    </row>
    <row r="121" spans="1:7" s="516" customFormat="1">
      <c r="A121" s="539">
        <v>14</v>
      </c>
      <c r="B121" s="519"/>
      <c r="C121" s="519" t="s">
        <v>365</v>
      </c>
      <c r="D121" s="327">
        <f>SUM(D122:D130)</f>
        <v>0</v>
      </c>
      <c r="E121" s="327">
        <f>SUM(E122:E130)</f>
        <v>0</v>
      </c>
      <c r="F121" s="327">
        <f>SUM(F122:F130)</f>
        <v>2469024.0025500003</v>
      </c>
      <c r="G121" s="327">
        <f>SUM(G122:G130)</f>
        <v>0</v>
      </c>
    </row>
    <row r="122" spans="1:7" s="516" customFormat="1">
      <c r="A122" s="537" t="s">
        <v>119</v>
      </c>
      <c r="B122" s="526"/>
      <c r="C122" s="526" t="s">
        <v>364</v>
      </c>
      <c r="D122" s="317"/>
      <c r="E122" s="316"/>
      <c r="F122" s="317">
        <v>1335425.5008700001</v>
      </c>
      <c r="G122" s="316"/>
    </row>
    <row r="123" spans="1:7" s="516" customFormat="1">
      <c r="A123" s="537">
        <v>144</v>
      </c>
      <c r="B123" s="526"/>
      <c r="C123" s="526" t="s">
        <v>363</v>
      </c>
      <c r="D123" s="317"/>
      <c r="E123" s="316"/>
      <c r="F123" s="317">
        <v>722473.86266999994</v>
      </c>
      <c r="G123" s="316"/>
    </row>
    <row r="124" spans="1:7" s="516" customFormat="1">
      <c r="A124" s="537">
        <v>145</v>
      </c>
      <c r="B124" s="526"/>
      <c r="C124" s="526" t="s">
        <v>362</v>
      </c>
      <c r="D124" s="317"/>
      <c r="E124" s="304"/>
      <c r="F124" s="317">
        <v>9011.9750000000004</v>
      </c>
      <c r="G124" s="304"/>
    </row>
    <row r="125" spans="1:7" s="516" customFormat="1">
      <c r="A125" s="537">
        <v>146</v>
      </c>
      <c r="B125" s="526"/>
      <c r="C125" s="526" t="s">
        <v>361</v>
      </c>
      <c r="D125" s="317"/>
      <c r="E125" s="304"/>
      <c r="F125" s="317">
        <v>402112.66401000001</v>
      </c>
      <c r="G125" s="304"/>
    </row>
    <row r="126" spans="1:7" s="538" customFormat="1" ht="29.45" customHeight="1">
      <c r="A126" s="524" t="s">
        <v>114</v>
      </c>
      <c r="B126" s="523"/>
      <c r="C126" s="523" t="s">
        <v>360</v>
      </c>
      <c r="D126" s="311"/>
      <c r="E126" s="339"/>
      <c r="F126" s="311">
        <v>0</v>
      </c>
      <c r="G126" s="339"/>
    </row>
    <row r="127" spans="1:7" s="516" customFormat="1">
      <c r="A127" s="537">
        <v>1484</v>
      </c>
      <c r="B127" s="526"/>
      <c r="C127" s="526" t="s">
        <v>359</v>
      </c>
      <c r="D127" s="317"/>
      <c r="E127" s="304"/>
      <c r="F127" s="317">
        <v>0</v>
      </c>
      <c r="G127" s="304"/>
    </row>
    <row r="128" spans="1:7" s="538" customFormat="1">
      <c r="A128" s="524">
        <v>1485</v>
      </c>
      <c r="B128" s="523"/>
      <c r="C128" s="523" t="s">
        <v>358</v>
      </c>
      <c r="D128" s="311"/>
      <c r="E128" s="339"/>
      <c r="F128" s="311">
        <v>0</v>
      </c>
      <c r="G128" s="339"/>
    </row>
    <row r="129" spans="1:7" s="538" customFormat="1" ht="25.5">
      <c r="A129" s="524">
        <v>1486</v>
      </c>
      <c r="B129" s="523"/>
      <c r="C129" s="523" t="s">
        <v>357</v>
      </c>
      <c r="D129" s="311"/>
      <c r="E129" s="339"/>
      <c r="F129" s="311">
        <v>0</v>
      </c>
      <c r="G129" s="339"/>
    </row>
    <row r="130" spans="1:7" s="538" customFormat="1">
      <c r="A130" s="767">
        <v>1489</v>
      </c>
      <c r="B130" s="766"/>
      <c r="C130" s="766" t="s">
        <v>356</v>
      </c>
      <c r="D130" s="764"/>
      <c r="E130" s="763"/>
      <c r="F130" s="764">
        <v>0</v>
      </c>
      <c r="G130" s="763"/>
    </row>
    <row r="131" spans="1:7" s="512" customFormat="1">
      <c r="A131" s="760">
        <v>1</v>
      </c>
      <c r="B131" s="514"/>
      <c r="C131" s="515" t="s">
        <v>355</v>
      </c>
      <c r="D131" s="295">
        <f>D111+D121</f>
        <v>0</v>
      </c>
      <c r="E131" s="295">
        <f>E111+E121</f>
        <v>0</v>
      </c>
      <c r="F131" s="295">
        <f>F111+F121</f>
        <v>8183287.53003</v>
      </c>
      <c r="G131" s="295">
        <f>G111+G121</f>
        <v>0</v>
      </c>
    </row>
    <row r="132" spans="1:7" s="512" customFormat="1">
      <c r="A132" s="762"/>
      <c r="B132" s="534"/>
      <c r="C132" s="533"/>
      <c r="D132" s="260"/>
      <c r="E132" s="260"/>
      <c r="F132" s="260"/>
      <c r="G132" s="260"/>
    </row>
    <row r="133" spans="1:7" s="516" customFormat="1">
      <c r="A133" s="761">
        <v>20</v>
      </c>
      <c r="B133" s="531"/>
      <c r="C133" s="531" t="s">
        <v>354</v>
      </c>
      <c r="D133" s="329">
        <f>D134+D140</f>
        <v>0</v>
      </c>
      <c r="E133" s="530">
        <f>E134+E140</f>
        <v>0</v>
      </c>
      <c r="F133" s="329">
        <f>F134+F140</f>
        <v>6319057.4961999999</v>
      </c>
      <c r="G133" s="530">
        <f>G134+G140</f>
        <v>0</v>
      </c>
    </row>
    <row r="134" spans="1:7" s="516" customFormat="1">
      <c r="A134" s="520" t="s">
        <v>106</v>
      </c>
      <c r="B134" s="519"/>
      <c r="C134" s="519" t="s">
        <v>353</v>
      </c>
      <c r="D134" s="327">
        <f>D135+D136+D138+D139</f>
        <v>0</v>
      </c>
      <c r="E134" s="326">
        <f>E135+E136+E138+E139</f>
        <v>0</v>
      </c>
      <c r="F134" s="327">
        <f>F135+F136+F138+F139</f>
        <v>3855810.7574700001</v>
      </c>
      <c r="G134" s="326">
        <f>G135+G136+G138+G139</f>
        <v>0</v>
      </c>
    </row>
    <row r="135" spans="1:7" s="525" customFormat="1">
      <c r="A135" s="527">
        <v>200</v>
      </c>
      <c r="B135" s="526"/>
      <c r="C135" s="526" t="s">
        <v>352</v>
      </c>
      <c r="D135" s="317"/>
      <c r="E135" s="316"/>
      <c r="F135" s="317">
        <v>1725939.0958699998</v>
      </c>
      <c r="G135" s="316"/>
    </row>
    <row r="136" spans="1:7" s="525" customFormat="1">
      <c r="A136" s="527">
        <v>201</v>
      </c>
      <c r="B136" s="526"/>
      <c r="C136" s="526" t="s">
        <v>351</v>
      </c>
      <c r="D136" s="317"/>
      <c r="E136" s="316"/>
      <c r="F136" s="317">
        <v>738082.22446000006</v>
      </c>
      <c r="G136" s="316"/>
    </row>
    <row r="137" spans="1:7" s="525" customFormat="1">
      <c r="A137" s="529" t="s">
        <v>350</v>
      </c>
      <c r="B137" s="528"/>
      <c r="C137" s="528" t="s">
        <v>349</v>
      </c>
      <c r="D137" s="322"/>
      <c r="E137" s="328"/>
      <c r="F137" s="322">
        <v>0</v>
      </c>
      <c r="G137" s="328"/>
    </row>
    <row r="138" spans="1:7" s="525" customFormat="1">
      <c r="A138" s="527">
        <v>204</v>
      </c>
      <c r="B138" s="526"/>
      <c r="C138" s="526" t="s">
        <v>348</v>
      </c>
      <c r="D138" s="317"/>
      <c r="E138" s="304"/>
      <c r="F138" s="317">
        <v>1391789.4371400001</v>
      </c>
      <c r="G138" s="304"/>
    </row>
    <row r="139" spans="1:7" s="525" customFormat="1">
      <c r="A139" s="527">
        <v>205</v>
      </c>
      <c r="B139" s="526"/>
      <c r="C139" s="526" t="s">
        <v>347</v>
      </c>
      <c r="D139" s="317"/>
      <c r="E139" s="304"/>
      <c r="F139" s="317">
        <v>0</v>
      </c>
      <c r="G139" s="304"/>
    </row>
    <row r="140" spans="1:7" s="525" customFormat="1">
      <c r="A140" s="520" t="s">
        <v>98</v>
      </c>
      <c r="B140" s="519"/>
      <c r="C140" s="519" t="s">
        <v>346</v>
      </c>
      <c r="D140" s="327">
        <f>D141+D143+D144</f>
        <v>0</v>
      </c>
      <c r="E140" s="326">
        <f>E141+E143+E144</f>
        <v>0</v>
      </c>
      <c r="F140" s="327">
        <f>F141+F143+F144</f>
        <v>2463246.7387299999</v>
      </c>
      <c r="G140" s="326">
        <f>G141+G143+G144</f>
        <v>0</v>
      </c>
    </row>
    <row r="141" spans="1:7" s="525" customFormat="1">
      <c r="A141" s="527">
        <v>206</v>
      </c>
      <c r="B141" s="526"/>
      <c r="C141" s="526" t="s">
        <v>345</v>
      </c>
      <c r="D141" s="317"/>
      <c r="E141" s="304"/>
      <c r="F141" s="317">
        <v>2312394.4267899999</v>
      </c>
      <c r="G141" s="304"/>
    </row>
    <row r="142" spans="1:7" s="525" customFormat="1">
      <c r="A142" s="529" t="s">
        <v>344</v>
      </c>
      <c r="B142" s="528"/>
      <c r="C142" s="528" t="s">
        <v>343</v>
      </c>
      <c r="D142" s="322"/>
      <c r="E142" s="328"/>
      <c r="F142" s="322">
        <v>0</v>
      </c>
      <c r="G142" s="328"/>
    </row>
    <row r="143" spans="1:7" s="525" customFormat="1">
      <c r="A143" s="527">
        <v>208</v>
      </c>
      <c r="B143" s="526"/>
      <c r="C143" s="526" t="s">
        <v>342</v>
      </c>
      <c r="D143" s="317"/>
      <c r="E143" s="304"/>
      <c r="F143" s="317">
        <v>8912.3218100000013</v>
      </c>
      <c r="G143" s="304"/>
    </row>
    <row r="144" spans="1:7" s="521" customFormat="1" ht="25.5">
      <c r="A144" s="524">
        <v>209</v>
      </c>
      <c r="B144" s="523"/>
      <c r="C144" s="523" t="s">
        <v>341</v>
      </c>
      <c r="D144" s="311"/>
      <c r="E144" s="339"/>
      <c r="F144" s="311">
        <v>141939.99012999999</v>
      </c>
      <c r="G144" s="339"/>
    </row>
    <row r="145" spans="1:7" s="516" customFormat="1">
      <c r="A145" s="520">
        <v>29</v>
      </c>
      <c r="B145" s="519"/>
      <c r="C145" s="519" t="s">
        <v>340</v>
      </c>
      <c r="D145" s="305"/>
      <c r="E145" s="304"/>
      <c r="F145" s="305">
        <v>1864230.0338299999</v>
      </c>
      <c r="G145" s="304"/>
    </row>
    <row r="146" spans="1:7" s="516" customFormat="1">
      <c r="A146" s="518" t="s">
        <v>339</v>
      </c>
      <c r="B146" s="517"/>
      <c r="C146" s="517" t="s">
        <v>338</v>
      </c>
      <c r="D146" s="300"/>
      <c r="E146" s="299"/>
      <c r="F146" s="300">
        <v>751865.72214999993</v>
      </c>
      <c r="G146" s="299"/>
    </row>
    <row r="147" spans="1:7" s="512" customFormat="1">
      <c r="A147" s="760">
        <v>2</v>
      </c>
      <c r="B147" s="514"/>
      <c r="C147" s="515" t="s">
        <v>337</v>
      </c>
      <c r="D147" s="295">
        <f>D133+D145</f>
        <v>0</v>
      </c>
      <c r="E147" s="295">
        <f>E133+E145</f>
        <v>0</v>
      </c>
      <c r="F147" s="295">
        <f>F133+F145</f>
        <v>8183287.53003</v>
      </c>
      <c r="G147" s="295">
        <f>G133+G145</f>
        <v>0</v>
      </c>
    </row>
    <row r="148" spans="1:7" ht="7.5" customHeight="1">
      <c r="D148" s="512"/>
      <c r="F148" s="512"/>
    </row>
    <row r="149" spans="1:7" ht="13.5" customHeight="1">
      <c r="A149" s="759" t="s">
        <v>336</v>
      </c>
      <c r="B149" s="509"/>
      <c r="C149" s="664"/>
      <c r="D149" s="509"/>
      <c r="E149" s="509"/>
      <c r="F149" s="509"/>
      <c r="G149" s="509"/>
    </row>
    <row r="150" spans="1:7">
      <c r="A150" s="657" t="s">
        <v>335</v>
      </c>
      <c r="B150" s="657"/>
      <c r="C150" s="657" t="s">
        <v>334</v>
      </c>
      <c r="D150" s="268">
        <f>D77+SUM(D8:D12)-D30-D31+D16-D33+D59+D63-D73+D64-D74-D54+D20-D35</f>
        <v>0</v>
      </c>
      <c r="E150" s="268">
        <f>E77+SUM(E8:E12)-E30-E31+E16-E33+E59+E63-E73+E64-E74-E54+E20-E35</f>
        <v>198893.19999999925</v>
      </c>
      <c r="F150" s="268">
        <f>F77+SUM(F8:F12)-F30-F31+F16-F33+F59+F63-F73+F64-F74-F54+F20-F35</f>
        <v>550626.3657800022</v>
      </c>
      <c r="G150" s="268">
        <f>G77+SUM(G8:G12)-G30-G31+G16-G33+G59+G63-G73+G64-G74-G54+G20-G35</f>
        <v>208089.30000000112</v>
      </c>
    </row>
    <row r="151" spans="1:7">
      <c r="A151" s="653" t="s">
        <v>333</v>
      </c>
      <c r="B151" s="653"/>
      <c r="C151" s="653" t="s">
        <v>332</v>
      </c>
      <c r="D151" s="269">
        <f>IF(D177=0,0,D150/D177)</f>
        <v>0</v>
      </c>
      <c r="E151" s="269">
        <f>IF(E177=0,0,E150/E177)</f>
        <v>2.3454101913620538E-2</v>
      </c>
      <c r="F151" s="269">
        <f>IF(F177=0,0,F150/F177)</f>
        <v>6.0473424166846E-2</v>
      </c>
      <c r="G151" s="269">
        <f>IF(G177=0,0,G150/G177)</f>
        <v>2.3905136691109104E-2</v>
      </c>
    </row>
    <row r="152" spans="1:7" s="504" customFormat="1" ht="25.5">
      <c r="A152" s="663" t="s">
        <v>330</v>
      </c>
      <c r="B152" s="663"/>
      <c r="C152" s="663" t="s">
        <v>331</v>
      </c>
      <c r="D152" s="274">
        <f>IF(D107=0,0,D150/D107)</f>
        <v>0</v>
      </c>
      <c r="E152" s="274">
        <f>IF(E107=0,0,E150/E107)</f>
        <v>0.53868479497318467</v>
      </c>
      <c r="F152" s="274">
        <f>IF(F107=0,0,F150/F107)</f>
        <v>1.6038585632729259</v>
      </c>
      <c r="G152" s="274">
        <f>IF(G107=0,0,G150/G107)</f>
        <v>0.49371799921229098</v>
      </c>
    </row>
    <row r="153" spans="1:7" s="504" customFormat="1" ht="25.5">
      <c r="A153" s="662" t="s">
        <v>330</v>
      </c>
      <c r="B153" s="662"/>
      <c r="C153" s="662" t="s">
        <v>329</v>
      </c>
      <c r="D153" s="758">
        <f>IF(0=D108,0,D150/D108)</f>
        <v>0</v>
      </c>
      <c r="E153" s="758">
        <f>IF(0=E108,0,E150/E108)</f>
        <v>0.53868479497318467</v>
      </c>
      <c r="F153" s="758">
        <f>IF(0=F108,0,F150/F108)</f>
        <v>1.6535214450146447</v>
      </c>
      <c r="G153" s="758">
        <f>IF(0=G108,0,G150/G108)</f>
        <v>0.49371799921229098</v>
      </c>
    </row>
    <row r="154" spans="1:7" s="504" customFormat="1" ht="25.5">
      <c r="A154" s="661" t="s">
        <v>328</v>
      </c>
      <c r="B154" s="661"/>
      <c r="C154" s="661" t="s">
        <v>327</v>
      </c>
      <c r="D154" s="282">
        <f>D150-D107</f>
        <v>0</v>
      </c>
      <c r="E154" s="282">
        <f>E150-E107</f>
        <v>-170326.80000000075</v>
      </c>
      <c r="F154" s="282">
        <f>F150-F107</f>
        <v>207312.82281000214</v>
      </c>
      <c r="G154" s="282">
        <f>G150-G107</f>
        <v>-213384.69999999888</v>
      </c>
    </row>
    <row r="155" spans="1:7" ht="27.6" customHeight="1">
      <c r="A155" s="659" t="s">
        <v>326</v>
      </c>
      <c r="B155" s="659"/>
      <c r="C155" s="659" t="s">
        <v>325</v>
      </c>
      <c r="D155" s="279">
        <f>D150-D108</f>
        <v>0</v>
      </c>
      <c r="E155" s="279">
        <f>E150-E108</f>
        <v>-170326.80000000075</v>
      </c>
      <c r="F155" s="279">
        <f>F150-F108</f>
        <v>217624.11326000211</v>
      </c>
      <c r="G155" s="279">
        <f>G150-G108</f>
        <v>-213384.69999999888</v>
      </c>
    </row>
    <row r="156" spans="1:7">
      <c r="A156" s="657" t="s">
        <v>324</v>
      </c>
      <c r="B156" s="657"/>
      <c r="C156" s="657" t="s">
        <v>323</v>
      </c>
      <c r="D156" s="277">
        <f>D135+D136-D137+D141-D142</f>
        <v>0</v>
      </c>
      <c r="E156" s="277">
        <f>E135+E136-E137+E141-E142</f>
        <v>0</v>
      </c>
      <c r="F156" s="277">
        <f>F135+F136-F137+F141-F142</f>
        <v>4776415.7471200004</v>
      </c>
      <c r="G156" s="277">
        <f>G135+G136-G137+G141-G142</f>
        <v>0</v>
      </c>
    </row>
    <row r="157" spans="1:7">
      <c r="A157" s="655" t="s">
        <v>322</v>
      </c>
      <c r="B157" s="655"/>
      <c r="C157" s="655" t="s">
        <v>321</v>
      </c>
      <c r="D157" s="273">
        <f>IF(D177=0,0,D156/D177)</f>
        <v>0</v>
      </c>
      <c r="E157" s="273">
        <f>IF(E177=0,0,E156/E177)</f>
        <v>0</v>
      </c>
      <c r="F157" s="273">
        <f>IF(F177=0,0,F156/F177)</f>
        <v>0.52457752375082656</v>
      </c>
      <c r="G157" s="273">
        <f>IF(G177=0,0,G156/G177)</f>
        <v>0</v>
      </c>
    </row>
    <row r="158" spans="1:7">
      <c r="A158" s="657" t="s">
        <v>320</v>
      </c>
      <c r="B158" s="657"/>
      <c r="C158" s="657" t="s">
        <v>319</v>
      </c>
      <c r="D158" s="277">
        <f>D133-D142-D111</f>
        <v>0</v>
      </c>
      <c r="E158" s="277">
        <f>E133-E142-E111</f>
        <v>0</v>
      </c>
      <c r="F158" s="277">
        <f>F133-F142-F111</f>
        <v>604793.96872000024</v>
      </c>
      <c r="G158" s="277">
        <f>G133-G142-G111</f>
        <v>0</v>
      </c>
    </row>
    <row r="159" spans="1:7">
      <c r="A159" s="653" t="s">
        <v>318</v>
      </c>
      <c r="B159" s="653"/>
      <c r="C159" s="653" t="s">
        <v>317</v>
      </c>
      <c r="D159" s="265">
        <f>D121-D123-D124-D142-D145</f>
        <v>0</v>
      </c>
      <c r="E159" s="265">
        <f>E121-E123-E124-E142-E145</f>
        <v>0</v>
      </c>
      <c r="F159" s="265">
        <f>F121-F123-F124-F142-F145</f>
        <v>-126691.86894999957</v>
      </c>
      <c r="G159" s="265">
        <f>G121-G123-G124-G142-G145</f>
        <v>0</v>
      </c>
    </row>
    <row r="160" spans="1:7">
      <c r="A160" s="653" t="s">
        <v>315</v>
      </c>
      <c r="B160" s="653"/>
      <c r="C160" s="653" t="s">
        <v>316</v>
      </c>
      <c r="D160" s="276" t="str">
        <f>IF(D175=0,"-",1000*D158/D175)</f>
        <v>-</v>
      </c>
      <c r="E160" s="276">
        <f>IF(E175=0,"-",1000*E158/E175)</f>
        <v>0</v>
      </c>
      <c r="F160" s="276">
        <f>IF(F175=0,"-",1000*F158/F175)</f>
        <v>800.66029810595921</v>
      </c>
      <c r="G160" s="276">
        <f>IF(G175=0,"-",1000*G158/G175)</f>
        <v>0</v>
      </c>
    </row>
    <row r="161" spans="1:7">
      <c r="A161" s="653" t="s">
        <v>315</v>
      </c>
      <c r="B161" s="653"/>
      <c r="C161" s="653" t="s">
        <v>314</v>
      </c>
      <c r="D161" s="265">
        <f>IF(D175=0,0,1000*(D159/D175))</f>
        <v>0</v>
      </c>
      <c r="E161" s="265">
        <f>IF(E175=0,0,1000*(E159/E175))</f>
        <v>0</v>
      </c>
      <c r="F161" s="265">
        <f>IF(F175=0,0,1000*(F159/F175))</f>
        <v>-167.72182727911729</v>
      </c>
      <c r="G161" s="265">
        <f>IF(G175=0,0,1000*(G159/G175))</f>
        <v>0</v>
      </c>
    </row>
    <row r="162" spans="1:7">
      <c r="A162" s="655" t="s">
        <v>313</v>
      </c>
      <c r="B162" s="655"/>
      <c r="C162" s="655" t="s">
        <v>312</v>
      </c>
      <c r="D162" s="273">
        <f>IF((D22+D23+D65+D66)=0,0,D158/(D22+D23+D65+D66))</f>
        <v>0</v>
      </c>
      <c r="E162" s="273">
        <f>IF((E22+E23+E65+E66)=0,0,E158/(E22+E23+E65+E66))</f>
        <v>0</v>
      </c>
      <c r="F162" s="273">
        <f>IF((F22+F23+F65+F66)=0,0,F158/(F22+F23+F65+F66))</f>
        <v>0.10349962206158204</v>
      </c>
      <c r="G162" s="273">
        <f>IF((G22+G23+G65+G66)=0,0,G158/(G22+G23+G65+G66))</f>
        <v>0</v>
      </c>
    </row>
    <row r="163" spans="1:7">
      <c r="A163" s="653" t="s">
        <v>311</v>
      </c>
      <c r="B163" s="653"/>
      <c r="C163" s="653" t="s">
        <v>310</v>
      </c>
      <c r="D163" s="268">
        <f>D145</f>
        <v>0</v>
      </c>
      <c r="E163" s="268">
        <f>E145</f>
        <v>0</v>
      </c>
      <c r="F163" s="268">
        <f>F145</f>
        <v>1864230.0338299999</v>
      </c>
      <c r="G163" s="268">
        <f>G145</f>
        <v>0</v>
      </c>
    </row>
    <row r="164" spans="1:7" ht="25.5">
      <c r="A164" s="663" t="s">
        <v>309</v>
      </c>
      <c r="B164" s="655"/>
      <c r="C164" s="655" t="s">
        <v>308</v>
      </c>
      <c r="D164" s="274">
        <f>IF(D178=0,0,D146/D178)</f>
        <v>0</v>
      </c>
      <c r="E164" s="274">
        <f>IF(E178=0,0,E146/E178)</f>
        <v>0</v>
      </c>
      <c r="F164" s="274">
        <f>IF(F178=0,0,F146/F178)</f>
        <v>8.4411371780412151E-2</v>
      </c>
      <c r="G164" s="274">
        <f>IF(G178=0,0,G146/G178)</f>
        <v>0</v>
      </c>
    </row>
    <row r="165" spans="1:7">
      <c r="A165" s="651" t="s">
        <v>307</v>
      </c>
      <c r="B165" s="651"/>
      <c r="C165" s="651" t="s">
        <v>306</v>
      </c>
      <c r="D165" s="262">
        <f>IF(D177=0,0,D180/D177)</f>
        <v>0</v>
      </c>
      <c r="E165" s="262">
        <f>IF(E177=0,0,E180/E177)</f>
        <v>2.6917550411828722E-2</v>
      </c>
      <c r="F165" s="262">
        <f>IF(F177=0,0,F180/F177)</f>
        <v>3.3473980063577637E-2</v>
      </c>
      <c r="G165" s="262">
        <f>IF(G177=0,0,G180/G177)</f>
        <v>2.6053665322641046E-2</v>
      </c>
    </row>
    <row r="166" spans="1:7">
      <c r="A166" s="653" t="s">
        <v>305</v>
      </c>
      <c r="B166" s="653"/>
      <c r="C166" s="653" t="s">
        <v>304</v>
      </c>
      <c r="D166" s="268">
        <f>D55</f>
        <v>0</v>
      </c>
      <c r="E166" s="268">
        <f>E55</f>
        <v>170342.09999999998</v>
      </c>
      <c r="F166" s="268">
        <f>F55</f>
        <v>222521.25847</v>
      </c>
      <c r="G166" s="268">
        <f>G55</f>
        <v>169583.2</v>
      </c>
    </row>
    <row r="167" spans="1:7" s="504" customFormat="1" ht="25.5">
      <c r="A167" s="663" t="s">
        <v>303</v>
      </c>
      <c r="B167" s="655"/>
      <c r="C167" s="655" t="s">
        <v>302</v>
      </c>
      <c r="D167" s="274">
        <f>IF(0=D111,0,(D44+D45+D46+D47+D48)/D111)</f>
        <v>0</v>
      </c>
      <c r="E167" s="274">
        <f>IF(0=E111,0,(E44+E45+E46+E47+E48)/E111)</f>
        <v>0</v>
      </c>
      <c r="F167" s="274">
        <f>IF(0=F111,0,(F44+F45+F46+F47+F48)/F111)</f>
        <v>1.9376417002389904E-2</v>
      </c>
      <c r="G167" s="274">
        <f>IF(0=G111,0,(G44+G45+G46+G47+G48)/G111)</f>
        <v>0</v>
      </c>
    </row>
    <row r="168" spans="1:7">
      <c r="A168" s="653" t="s">
        <v>301</v>
      </c>
      <c r="B168" s="657"/>
      <c r="C168" s="657" t="s">
        <v>300</v>
      </c>
      <c r="D168" s="268">
        <f>D38-D44</f>
        <v>0</v>
      </c>
      <c r="E168" s="268">
        <f>E38-E44</f>
        <v>27571.4</v>
      </c>
      <c r="F168" s="268">
        <f>F38-F44</f>
        <v>-36656.049950000008</v>
      </c>
      <c r="G168" s="268">
        <f>G38-G44</f>
        <v>19201.300000000003</v>
      </c>
    </row>
    <row r="169" spans="1:7">
      <c r="A169" s="655" t="s">
        <v>299</v>
      </c>
      <c r="B169" s="655"/>
      <c r="C169" s="655" t="s">
        <v>298</v>
      </c>
      <c r="D169" s="269">
        <f>IF(D177=0,0,D168/D177)</f>
        <v>0</v>
      </c>
      <c r="E169" s="269">
        <f>IF(E177=0,0,E168/E177)</f>
        <v>3.2513048485378069E-3</v>
      </c>
      <c r="F169" s="269">
        <f>IF(F177=0,0,F168/F177)</f>
        <v>-4.0258095047215987E-3</v>
      </c>
      <c r="G169" s="269">
        <f>IF(G177=0,0,G168/G177)</f>
        <v>2.2058303869876578E-3</v>
      </c>
    </row>
    <row r="170" spans="1:7">
      <c r="A170" s="653" t="s">
        <v>297</v>
      </c>
      <c r="B170" s="653"/>
      <c r="C170" s="653" t="s">
        <v>296</v>
      </c>
      <c r="D170" s="268">
        <f>SUM(D82:D87)+SUM(D89:D94)</f>
        <v>0</v>
      </c>
      <c r="E170" s="268">
        <f>SUM(E82:E87)+SUM(E89:E94)</f>
        <v>388763</v>
      </c>
      <c r="F170" s="268">
        <f>SUM(F82:F87)+SUM(F89:F94)</f>
        <v>370127.38775000005</v>
      </c>
      <c r="G170" s="268">
        <f>SUM(G82:G87)+SUM(G89:G94)</f>
        <v>453049</v>
      </c>
    </row>
    <row r="171" spans="1:7">
      <c r="A171" s="653" t="s">
        <v>295</v>
      </c>
      <c r="B171" s="653"/>
      <c r="C171" s="653" t="s">
        <v>294</v>
      </c>
      <c r="D171" s="265">
        <f>SUM(D96:D102)+SUM(D104:D105)</f>
        <v>0</v>
      </c>
      <c r="E171" s="265">
        <f>SUM(E96:E102)+SUM(E104:E105)</f>
        <v>19543</v>
      </c>
      <c r="F171" s="265">
        <f>SUM(F96:F102)+SUM(F104:F105)</f>
        <v>26813.844780000003</v>
      </c>
      <c r="G171" s="265">
        <f>SUM(G96:G102)+SUM(G104:G105)</f>
        <v>31575</v>
      </c>
    </row>
    <row r="172" spans="1:7">
      <c r="A172" s="651" t="s">
        <v>293</v>
      </c>
      <c r="B172" s="651"/>
      <c r="C172" s="651" t="s">
        <v>292</v>
      </c>
      <c r="D172" s="262">
        <f>IF(D184=0,0,D170/D184)</f>
        <v>0</v>
      </c>
      <c r="E172" s="262">
        <f>IF(E184=0,0,E170/E184)</f>
        <v>4.5644279484261661E-2</v>
      </c>
      <c r="F172" s="262">
        <f>IF(F184=0,0,F170/F184)</f>
        <v>4.1560964247537156E-2</v>
      </c>
      <c r="G172" s="262">
        <f>IF(G184=0,0,G170/G184)</f>
        <v>5.1666735149048175E-2</v>
      </c>
    </row>
    <row r="174" spans="1:7">
      <c r="A174" s="788" t="s">
        <v>291</v>
      </c>
      <c r="B174" s="534"/>
      <c r="C174" s="533"/>
      <c r="D174" s="257"/>
      <c r="E174" s="257"/>
      <c r="F174" s="258"/>
      <c r="G174" s="258"/>
    </row>
    <row r="175" spans="1:7" s="480" customFormat="1">
      <c r="A175" s="762" t="s">
        <v>290</v>
      </c>
      <c r="B175" s="534"/>
      <c r="C175" s="534" t="s">
        <v>289</v>
      </c>
      <c r="D175" s="257"/>
      <c r="E175" s="257">
        <v>743317</v>
      </c>
      <c r="F175" s="257">
        <v>755369</v>
      </c>
      <c r="G175" s="257">
        <v>755369</v>
      </c>
    </row>
    <row r="176" spans="1:7">
      <c r="A176" s="479" t="s">
        <v>288</v>
      </c>
      <c r="B176" s="477"/>
      <c r="C176" s="477"/>
      <c r="D176" s="477"/>
      <c r="E176" s="477"/>
      <c r="F176" s="477"/>
      <c r="G176" s="477"/>
    </row>
    <row r="177" spans="1:7">
      <c r="A177" s="478" t="s">
        <v>287</v>
      </c>
      <c r="B177" s="477"/>
      <c r="C177" s="477" t="s">
        <v>286</v>
      </c>
      <c r="D177" s="475">
        <f>SUM(D22:D32)+SUM(D44:D53)+SUM(D65:D72)+D75</f>
        <v>0</v>
      </c>
      <c r="E177" s="475">
        <f>SUM(E22:E32)+SUM(E44:E53)+SUM(E65:E72)+E75</f>
        <v>8480103</v>
      </c>
      <c r="F177" s="475">
        <f>SUM(F22:F32)+SUM(F44:F53)+SUM(F65:F72)+F75</f>
        <v>9105261.9124200027</v>
      </c>
      <c r="G177" s="475">
        <f>SUM(G22:G32)+SUM(G44:G53)+SUM(G65:G72)+G75</f>
        <v>8704794.4000000022</v>
      </c>
    </row>
    <row r="178" spans="1:7">
      <c r="A178" s="478" t="s">
        <v>285</v>
      </c>
      <c r="B178" s="477"/>
      <c r="C178" s="477" t="s">
        <v>284</v>
      </c>
      <c r="D178" s="475">
        <f>D78-D17-D20-D59-D63-D64</f>
        <v>0</v>
      </c>
      <c r="E178" s="475">
        <f>E78-E17-E20-E59-E63-E64</f>
        <v>8456013.7000000011</v>
      </c>
      <c r="F178" s="475">
        <f>F78-F17-F20-F59-F63-F64</f>
        <v>8907161.5149899982</v>
      </c>
      <c r="G178" s="475">
        <f>G78-G17-G20-G59-G63-G64</f>
        <v>8678603.5</v>
      </c>
    </row>
    <row r="179" spans="1:7">
      <c r="A179" s="478"/>
      <c r="B179" s="477"/>
      <c r="C179" s="477" t="s">
        <v>283</v>
      </c>
      <c r="D179" s="475">
        <f>D178+D170</f>
        <v>0</v>
      </c>
      <c r="E179" s="475">
        <f>E178+E170</f>
        <v>8844776.7000000011</v>
      </c>
      <c r="F179" s="475">
        <f>F178+F170</f>
        <v>9277288.902739998</v>
      </c>
      <c r="G179" s="475">
        <f>G178+G170</f>
        <v>9131652.5</v>
      </c>
    </row>
    <row r="180" spans="1:7">
      <c r="A180" s="477" t="s">
        <v>282</v>
      </c>
      <c r="B180" s="477"/>
      <c r="C180" s="477" t="s">
        <v>281</v>
      </c>
      <c r="D180" s="475">
        <f>D38-D44+D8+D9+D10+D16-D33</f>
        <v>0</v>
      </c>
      <c r="E180" s="475">
        <f>E38-E44+E8+E9+E10+E16-E33</f>
        <v>228263.59999999998</v>
      </c>
      <c r="F180" s="475">
        <f>F38-F44+F8+F9+F10+F16-F33</f>
        <v>304789.35572999995</v>
      </c>
      <c r="G180" s="475">
        <f>G38-G44+G8+G9+G10+G16-G33</f>
        <v>226791.80000000002</v>
      </c>
    </row>
    <row r="181" spans="1:7" ht="27.6" customHeight="1">
      <c r="A181" s="474" t="s">
        <v>280</v>
      </c>
      <c r="B181" s="472"/>
      <c r="C181" s="472" t="s">
        <v>279</v>
      </c>
      <c r="D181" s="249">
        <f>D22+D23+D24+D25+D26+D29+SUM(D44:D47)+SUM(D49:D53)-D54+D32-D33+SUM(D65:D70)+D72</f>
        <v>0</v>
      </c>
      <c r="E181" s="249">
        <f>E22+E23+E24+E25+E26+E29+SUM(E44:E47)+SUM(E49:E53)-E54+E32-E33+SUM(E65:E70)+E72</f>
        <v>8407381.3000000007</v>
      </c>
      <c r="F181" s="249">
        <f>F22+F23+F24+F25+F26+F29+SUM(F44:F47)+SUM(F49:F53)-F54+F32-F33+SUM(F65:F70)+F72</f>
        <v>9101236.5212999992</v>
      </c>
      <c r="G181" s="249">
        <f>G22+G23+G24+G25+G26+G29+SUM(G44:G47)+SUM(G49:G53)-G54+G32-G33+SUM(G65:G70)+G72</f>
        <v>8623733.9000000004</v>
      </c>
    </row>
    <row r="182" spans="1:7">
      <c r="A182" s="473" t="s">
        <v>278</v>
      </c>
      <c r="B182" s="472"/>
      <c r="C182" s="472" t="s">
        <v>277</v>
      </c>
      <c r="D182" s="249">
        <f>D181+D171</f>
        <v>0</v>
      </c>
      <c r="E182" s="249">
        <f>E181+E171</f>
        <v>8426924.3000000007</v>
      </c>
      <c r="F182" s="249">
        <f>F181+F171</f>
        <v>9128050.3660799991</v>
      </c>
      <c r="G182" s="249">
        <f>G181+G171</f>
        <v>8655308.9000000004</v>
      </c>
    </row>
    <row r="183" spans="1:7">
      <c r="A183" s="473" t="s">
        <v>276</v>
      </c>
      <c r="B183" s="472"/>
      <c r="C183" s="472" t="s">
        <v>275</v>
      </c>
      <c r="D183" s="249">
        <f>D4+D5-D7+D38+D39+D40+D41+D43+D13-D16+D57+D58+D60+D62</f>
        <v>0</v>
      </c>
      <c r="E183" s="249">
        <f>E4+E5-E7+E38+E39+E40+E41+E43+E13-E16+E57+E58+E60+E62</f>
        <v>8128470.7999999998</v>
      </c>
      <c r="F183" s="249">
        <f>F4+F5-F7+F38+F39+F40+F41+F43+F13-F16+F57+F58+F60+F62</f>
        <v>8535522.2873999998</v>
      </c>
      <c r="G183" s="249">
        <f>G4+G5-G7+G38+G39+G40+G41+G43+G13-G16+G57+G58+G60+G62</f>
        <v>8315629.7000000002</v>
      </c>
    </row>
    <row r="184" spans="1:7">
      <c r="A184" s="473" t="s">
        <v>274</v>
      </c>
      <c r="B184" s="472"/>
      <c r="C184" s="472" t="s">
        <v>273</v>
      </c>
      <c r="D184" s="249">
        <f>D183+D170</f>
        <v>0</v>
      </c>
      <c r="E184" s="249">
        <f>E183+E170</f>
        <v>8517233.8000000007</v>
      </c>
      <c r="F184" s="249">
        <f>F183+F170</f>
        <v>8905649.6751499996</v>
      </c>
      <c r="G184" s="249">
        <f>G183+G170</f>
        <v>8768678.6999999993</v>
      </c>
    </row>
    <row r="185" spans="1:7">
      <c r="A185" s="473"/>
      <c r="B185" s="472"/>
      <c r="C185" s="472" t="s">
        <v>272</v>
      </c>
      <c r="D185" s="249">
        <f t="shared" ref="D185:G186" si="0">D181-D183</f>
        <v>0</v>
      </c>
      <c r="E185" s="249">
        <f t="shared" si="0"/>
        <v>278910.50000000093</v>
      </c>
      <c r="F185" s="249">
        <f t="shared" si="0"/>
        <v>565714.23389999941</v>
      </c>
      <c r="G185" s="249">
        <f t="shared" si="0"/>
        <v>308104.20000000019</v>
      </c>
    </row>
    <row r="186" spans="1:7">
      <c r="A186" s="473"/>
      <c r="B186" s="472"/>
      <c r="C186" s="472" t="s">
        <v>271</v>
      </c>
      <c r="D186" s="249">
        <f t="shared" si="0"/>
        <v>0</v>
      </c>
      <c r="E186" s="249">
        <f t="shared" si="0"/>
        <v>-90309.5</v>
      </c>
      <c r="F186" s="249">
        <f t="shared" si="0"/>
        <v>222400.69092999958</v>
      </c>
      <c r="G186" s="249">
        <f t="shared" si="0"/>
        <v>-113369.79999999888</v>
      </c>
    </row>
  </sheetData>
  <sheetProtection selectLockedCells="1" sort="0" autoFilter="0" pivotTables="0"/>
  <mergeCells count="2">
    <mergeCell ref="A3:C3"/>
    <mergeCell ref="A81:C81"/>
  </mergeCells>
  <pageMargins left="0.23622047244094491" right="0.23622047244094491" top="0.74803149606299213" bottom="0.74803149606299213" header="0.31496062992125984" footer="0.31496062992125984"/>
  <pageSetup paperSize="9" fitToHeight="2" orientation="landscape" r:id="rId1"/>
  <headerFooter alignWithMargins="0">
    <oddHeader>&amp;LFachgruppe für kantonale Finanzfragen (FkF)
Groupe d'études pour les finances cantonales
&amp;CKanton VD&amp;RZürich, 11.05.2015</oddHeader>
    <oddFooter>&amp;L&amp;F / &amp;A</oddFooter>
  </headerFooter>
  <rowBreaks count="2" manualBreakCount="2">
    <brk id="79" max="16383" man="1"/>
    <brk id="148" max="12" man="1"/>
  </rowBreak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6"/>
  <dimension ref="A1:I43"/>
  <sheetViews>
    <sheetView zoomScaleNormal="100" workbookViewId="0">
      <selection activeCell="G10" sqref="G10"/>
    </sheetView>
  </sheetViews>
  <sheetFormatPr baseColWidth="10" defaultRowHeight="12.75"/>
  <cols>
    <col min="1" max="1" width="10.42578125" customWidth="1"/>
    <col min="2" max="2" width="46.42578125" bestFit="1" customWidth="1"/>
    <col min="3" max="3" width="12.28515625" bestFit="1" customWidth="1"/>
    <col min="4" max="4" width="11.5703125" bestFit="1" customWidth="1"/>
    <col min="5" max="5" width="12.28515625" bestFit="1" customWidth="1"/>
    <col min="6" max="6" width="11.5703125" bestFit="1" customWidth="1"/>
    <col min="7" max="7" width="12.28515625" bestFit="1" customWidth="1"/>
    <col min="8" max="8" width="11.5703125" style="65" bestFit="1" customWidth="1"/>
    <col min="9" max="9" width="12.28515625" bestFit="1" customWidth="1"/>
  </cols>
  <sheetData>
    <row r="1" spans="1:9">
      <c r="A1" s="5" t="s">
        <v>528</v>
      </c>
      <c r="B1" s="6" t="s">
        <v>645</v>
      </c>
      <c r="C1" s="54" t="s">
        <v>487</v>
      </c>
      <c r="D1" s="7" t="s">
        <v>530</v>
      </c>
      <c r="E1" s="54" t="s">
        <v>254</v>
      </c>
      <c r="F1" s="7" t="s">
        <v>530</v>
      </c>
      <c r="G1" s="54" t="s">
        <v>487</v>
      </c>
      <c r="H1" s="7" t="s">
        <v>530</v>
      </c>
      <c r="I1" s="55" t="s">
        <v>254</v>
      </c>
    </row>
    <row r="2" spans="1:9">
      <c r="A2" s="112">
        <v>0</v>
      </c>
      <c r="B2" s="115">
        <v>0</v>
      </c>
      <c r="C2" s="62">
        <v>2013</v>
      </c>
      <c r="D2" s="3" t="s">
        <v>531</v>
      </c>
      <c r="E2" s="62">
        <v>2014</v>
      </c>
      <c r="F2" s="3" t="s">
        <v>531</v>
      </c>
      <c r="G2" s="63">
        <v>2014</v>
      </c>
      <c r="H2" s="3" t="s">
        <v>531</v>
      </c>
      <c r="I2" s="64">
        <v>2015</v>
      </c>
    </row>
    <row r="3" spans="1:9">
      <c r="A3" s="112">
        <v>0</v>
      </c>
      <c r="B3" s="2" t="s">
        <v>607</v>
      </c>
      <c r="C3" s="114">
        <v>0</v>
      </c>
      <c r="D3" s="113">
        <v>0</v>
      </c>
      <c r="E3" s="114">
        <v>0</v>
      </c>
      <c r="F3" s="115">
        <v>0</v>
      </c>
      <c r="G3" s="116">
        <v>0</v>
      </c>
      <c r="H3" s="113">
        <v>0</v>
      </c>
      <c r="I3" s="105">
        <v>0</v>
      </c>
    </row>
    <row r="4" spans="1:9">
      <c r="A4" s="5" t="s">
        <v>533</v>
      </c>
      <c r="B4" s="9" t="s">
        <v>484</v>
      </c>
      <c r="C4" s="10">
        <v>976042.7</v>
      </c>
      <c r="D4" s="11">
        <v>1.3964450530699142E-2</v>
      </c>
      <c r="E4" s="10">
        <v>989672.6</v>
      </c>
      <c r="F4" s="11">
        <v>-5.9265053917830299E-3</v>
      </c>
      <c r="G4" s="10">
        <v>983807.3</v>
      </c>
      <c r="H4" s="241">
        <v>-4.6892821388904105E-2</v>
      </c>
      <c r="I4" s="12">
        <v>937673.8</v>
      </c>
    </row>
    <row r="5" spans="1:9">
      <c r="A5" s="13" t="s">
        <v>534</v>
      </c>
      <c r="B5" s="14" t="s">
        <v>608</v>
      </c>
      <c r="C5" s="15">
        <v>228845.4</v>
      </c>
      <c r="D5" s="16">
        <v>-2.2128913231378066E-2</v>
      </c>
      <c r="E5" s="15">
        <v>223781.3</v>
      </c>
      <c r="F5" s="16">
        <v>-1.982024414014931E-2</v>
      </c>
      <c r="G5" s="15">
        <v>219345.9</v>
      </c>
      <c r="H5" s="41">
        <v>1.3891757265579188E-2</v>
      </c>
      <c r="I5" s="17">
        <v>222393</v>
      </c>
    </row>
    <row r="6" spans="1:9">
      <c r="A6" s="13" t="s">
        <v>482</v>
      </c>
      <c r="B6" s="14" t="s">
        <v>609</v>
      </c>
      <c r="C6" s="15">
        <v>56886.1</v>
      </c>
      <c r="D6" s="16">
        <v>-0.11204143015604864</v>
      </c>
      <c r="E6" s="15">
        <v>50512.5</v>
      </c>
      <c r="F6" s="16">
        <v>-1.6817619401138333E-2</v>
      </c>
      <c r="G6" s="15">
        <v>49663</v>
      </c>
      <c r="H6" s="41">
        <v>2.5934800555746313E-3</v>
      </c>
      <c r="I6" s="17">
        <v>49791.8</v>
      </c>
    </row>
    <row r="7" spans="1:9">
      <c r="A7" s="13" t="s">
        <v>537</v>
      </c>
      <c r="B7" s="14" t="s">
        <v>610</v>
      </c>
      <c r="C7" s="15">
        <v>34685.1</v>
      </c>
      <c r="D7" s="16">
        <v>1.1956142551124385E-2</v>
      </c>
      <c r="E7" s="15">
        <v>35099.800000000003</v>
      </c>
      <c r="F7" s="16">
        <v>2.7968820335158521E-2</v>
      </c>
      <c r="G7" s="15">
        <v>36081.5</v>
      </c>
      <c r="H7" s="41">
        <v>-0.18222634868284301</v>
      </c>
      <c r="I7" s="17">
        <v>29506.5</v>
      </c>
    </row>
    <row r="8" spans="1:9">
      <c r="A8" s="13" t="s">
        <v>539</v>
      </c>
      <c r="B8" s="14" t="s">
        <v>611</v>
      </c>
      <c r="C8" s="15">
        <v>31509.599999999999</v>
      </c>
      <c r="D8" s="16">
        <v>-0.3945940284865565</v>
      </c>
      <c r="E8" s="15">
        <v>19076.099999999999</v>
      </c>
      <c r="F8" s="16">
        <v>0.39196691147561613</v>
      </c>
      <c r="G8" s="15">
        <v>26553.3</v>
      </c>
      <c r="H8" s="41">
        <v>0.18318250462277766</v>
      </c>
      <c r="I8" s="17">
        <v>31417.4</v>
      </c>
    </row>
    <row r="9" spans="1:9">
      <c r="A9" s="13" t="s">
        <v>541</v>
      </c>
      <c r="B9" s="14" t="s">
        <v>612</v>
      </c>
      <c r="C9" s="15">
        <v>172677.2</v>
      </c>
      <c r="D9" s="16">
        <v>6.085806348493019E-2</v>
      </c>
      <c r="E9" s="15">
        <v>183186</v>
      </c>
      <c r="F9" s="16">
        <v>-4.6595809723450544E-2</v>
      </c>
      <c r="G9" s="15">
        <v>174650.3</v>
      </c>
      <c r="H9" s="41">
        <v>0.21815422017597458</v>
      </c>
      <c r="I9" s="17">
        <v>212751</v>
      </c>
    </row>
    <row r="10" spans="1:9">
      <c r="A10" s="13" t="s">
        <v>543</v>
      </c>
      <c r="B10" s="14" t="s">
        <v>613</v>
      </c>
      <c r="C10" s="15">
        <v>1546457.6</v>
      </c>
      <c r="D10" s="16">
        <v>-1.3919683281326423E-2</v>
      </c>
      <c r="E10" s="15">
        <v>1524931.4</v>
      </c>
      <c r="F10" s="16">
        <v>4.7480365346270689E-2</v>
      </c>
      <c r="G10" s="15">
        <v>1597335.7</v>
      </c>
      <c r="H10" s="41">
        <v>-1.8844567237807364E-2</v>
      </c>
      <c r="I10" s="17">
        <v>1567234.5999999999</v>
      </c>
    </row>
    <row r="11" spans="1:9">
      <c r="A11" s="13" t="s">
        <v>614</v>
      </c>
      <c r="B11" s="14" t="s">
        <v>615</v>
      </c>
      <c r="C11" s="15">
        <v>43392</v>
      </c>
      <c r="D11" s="41">
        <v>-0.24952525811209442</v>
      </c>
      <c r="E11" s="15">
        <v>32564.6</v>
      </c>
      <c r="F11" s="16">
        <v>0.47304127795213213</v>
      </c>
      <c r="G11" s="15">
        <v>47969</v>
      </c>
      <c r="H11" s="41">
        <v>-0.80841793658404382</v>
      </c>
      <c r="I11" s="17">
        <v>9190</v>
      </c>
    </row>
    <row r="12" spans="1:9">
      <c r="A12" s="13" t="s">
        <v>616</v>
      </c>
      <c r="B12" s="14" t="s">
        <v>617</v>
      </c>
      <c r="C12" s="15">
        <v>479430.2</v>
      </c>
      <c r="D12" s="41">
        <v>4.3040259040836366E-2</v>
      </c>
      <c r="E12" s="15">
        <v>500065</v>
      </c>
      <c r="F12" s="16">
        <v>-3.6940197774289342E-2</v>
      </c>
      <c r="G12" s="15">
        <v>481592.5</v>
      </c>
      <c r="H12" s="41">
        <v>0.12789692530510743</v>
      </c>
      <c r="I12" s="17">
        <v>543186.69999999995</v>
      </c>
    </row>
    <row r="13" spans="1:9">
      <c r="A13" s="13" t="s">
        <v>618</v>
      </c>
      <c r="B13" s="14" t="s">
        <v>619</v>
      </c>
      <c r="C13" s="15">
        <v>250964.3</v>
      </c>
      <c r="D13" s="41">
        <v>3.2569971107444459E-2</v>
      </c>
      <c r="E13" s="15">
        <v>259138.2</v>
      </c>
      <c r="F13" s="41">
        <v>1.1617739106005893E-2</v>
      </c>
      <c r="G13" s="15">
        <v>262148.8</v>
      </c>
      <c r="H13" s="41">
        <v>1.260429191360026E-2</v>
      </c>
      <c r="I13" s="17">
        <v>265453</v>
      </c>
    </row>
    <row r="14" spans="1:9">
      <c r="A14" s="13" t="s">
        <v>620</v>
      </c>
      <c r="B14" s="14" t="s">
        <v>621</v>
      </c>
      <c r="C14" s="15">
        <v>984.2</v>
      </c>
      <c r="D14" s="41">
        <v>0.11765901239585445</v>
      </c>
      <c r="E14" s="15">
        <v>1100</v>
      </c>
      <c r="F14" s="16">
        <v>-0.12863636363636363</v>
      </c>
      <c r="G14" s="15">
        <v>958.5</v>
      </c>
      <c r="H14" s="41">
        <v>0.1476264997391758</v>
      </c>
      <c r="I14" s="17">
        <v>1100</v>
      </c>
    </row>
    <row r="15" spans="1:9">
      <c r="A15" s="13" t="s">
        <v>622</v>
      </c>
      <c r="B15" s="14" t="s">
        <v>623</v>
      </c>
      <c r="C15" s="15">
        <v>5339.2</v>
      </c>
      <c r="D15" s="41">
        <v>-8.2783937668564241E-3</v>
      </c>
      <c r="E15" s="15">
        <v>5295</v>
      </c>
      <c r="F15" s="16">
        <v>0.18625118035882904</v>
      </c>
      <c r="G15" s="15">
        <v>6281.2</v>
      </c>
      <c r="H15" s="41">
        <v>-0.13312742788002291</v>
      </c>
      <c r="I15" s="17">
        <v>5445</v>
      </c>
    </row>
    <row r="16" spans="1:9">
      <c r="A16" s="13" t="s">
        <v>624</v>
      </c>
      <c r="B16" s="14" t="s">
        <v>625</v>
      </c>
      <c r="C16" s="15">
        <v>5789.6</v>
      </c>
      <c r="D16" s="41">
        <v>2.0450462898991231E-2</v>
      </c>
      <c r="E16" s="15">
        <v>5908</v>
      </c>
      <c r="F16" s="41">
        <v>5.3893026404874686E-2</v>
      </c>
      <c r="G16" s="15">
        <v>6226.4</v>
      </c>
      <c r="H16" s="41">
        <v>-5.7240138763972707E-2</v>
      </c>
      <c r="I16" s="17">
        <v>5870</v>
      </c>
    </row>
    <row r="17" spans="1:9">
      <c r="A17" s="13" t="s">
        <v>558</v>
      </c>
      <c r="B17" s="14" t="s">
        <v>626</v>
      </c>
      <c r="C17" s="15">
        <v>49878.5</v>
      </c>
      <c r="D17" s="16">
        <v>-0.20262638210852366</v>
      </c>
      <c r="E17" s="15">
        <v>39771.800000000003</v>
      </c>
      <c r="F17" s="16">
        <v>6.6753327734726461E-2</v>
      </c>
      <c r="G17" s="15">
        <v>42426.7</v>
      </c>
      <c r="H17" s="41">
        <v>1.3667902523646669</v>
      </c>
      <c r="I17" s="17">
        <v>100415.1</v>
      </c>
    </row>
    <row r="18" spans="1:9">
      <c r="A18" s="13">
        <v>389</v>
      </c>
      <c r="B18" s="14" t="s">
        <v>417</v>
      </c>
      <c r="C18" s="15">
        <v>0</v>
      </c>
      <c r="D18" s="41" t="s">
        <v>555</v>
      </c>
      <c r="E18" s="15">
        <v>0</v>
      </c>
      <c r="F18" s="41" t="s">
        <v>555</v>
      </c>
      <c r="G18" s="15">
        <v>0</v>
      </c>
      <c r="H18" s="41" t="s">
        <v>555</v>
      </c>
      <c r="I18" s="17">
        <v>0</v>
      </c>
    </row>
    <row r="19" spans="1:9">
      <c r="A19" s="18" t="s">
        <v>560</v>
      </c>
      <c r="B19" s="19" t="s">
        <v>447</v>
      </c>
      <c r="C19" s="20">
        <v>148098.5</v>
      </c>
      <c r="D19" s="41">
        <v>-0.10399632676900854</v>
      </c>
      <c r="E19" s="20">
        <v>132696.79999999999</v>
      </c>
      <c r="F19" s="41">
        <v>9.4352689740822823E-2</v>
      </c>
      <c r="G19" s="20">
        <v>145217.1</v>
      </c>
      <c r="H19" s="41">
        <v>-0.24770016754225227</v>
      </c>
      <c r="I19" s="21">
        <v>109246.8</v>
      </c>
    </row>
    <row r="20" spans="1:9">
      <c r="A20" s="22" t="s">
        <v>562</v>
      </c>
      <c r="B20" s="23" t="s">
        <v>627</v>
      </c>
      <c r="C20" s="24">
        <v>3188194.6000000006</v>
      </c>
      <c r="D20" s="25">
        <v>-1.2539636068639058E-2</v>
      </c>
      <c r="E20" s="24">
        <v>3148215.8000000003</v>
      </c>
      <c r="F20" s="25">
        <v>2.4522461262026424E-2</v>
      </c>
      <c r="G20" s="24">
        <v>3225417.8</v>
      </c>
      <c r="H20" s="242">
        <v>-4.5822280760029381E-3</v>
      </c>
      <c r="I20" s="26">
        <v>3210638.2</v>
      </c>
    </row>
    <row r="21" spans="1:9">
      <c r="A21" s="27" t="s">
        <v>564</v>
      </c>
      <c r="B21" s="28" t="s">
        <v>628</v>
      </c>
      <c r="C21" s="10">
        <v>1012242</v>
      </c>
      <c r="D21" s="16">
        <v>4.9060797714380461E-2</v>
      </c>
      <c r="E21" s="10">
        <v>1061903.3999999999</v>
      </c>
      <c r="F21" s="16">
        <v>-2.1325291923916911E-2</v>
      </c>
      <c r="G21" s="10">
        <v>1039258</v>
      </c>
      <c r="H21" s="41">
        <v>7.9912783928533628E-4</v>
      </c>
      <c r="I21" s="12">
        <v>1040088.5</v>
      </c>
    </row>
    <row r="22" spans="1:9">
      <c r="A22" s="8" t="s">
        <v>566</v>
      </c>
      <c r="B22" s="29" t="s">
        <v>629</v>
      </c>
      <c r="C22" s="15">
        <v>164161.9</v>
      </c>
      <c r="D22" s="16">
        <v>-2.7179875476587408E-2</v>
      </c>
      <c r="E22" s="15">
        <v>159700</v>
      </c>
      <c r="F22" s="16">
        <v>-2.2641202254226601E-2</v>
      </c>
      <c r="G22" s="15">
        <v>156084.20000000001</v>
      </c>
      <c r="H22" s="41">
        <v>0.12983889464788867</v>
      </c>
      <c r="I22" s="17">
        <v>176350</v>
      </c>
    </row>
    <row r="23" spans="1:9">
      <c r="A23" s="8" t="s">
        <v>568</v>
      </c>
      <c r="B23" s="29" t="s">
        <v>630</v>
      </c>
      <c r="C23" s="15">
        <v>63346</v>
      </c>
      <c r="D23" s="16">
        <v>-0.13454519622391314</v>
      </c>
      <c r="E23" s="15">
        <v>54823.1</v>
      </c>
      <c r="F23" s="16">
        <v>0.10119821753968675</v>
      </c>
      <c r="G23" s="15">
        <v>60371.1</v>
      </c>
      <c r="H23" s="41">
        <v>0.51664620985869081</v>
      </c>
      <c r="I23" s="17">
        <v>91561.600000000006</v>
      </c>
    </row>
    <row r="24" spans="1:9">
      <c r="A24" s="8" t="s">
        <v>570</v>
      </c>
      <c r="B24" s="29" t="s">
        <v>631</v>
      </c>
      <c r="C24" s="15">
        <v>275797.8</v>
      </c>
      <c r="D24" s="16">
        <v>-2.8031405616722712E-3</v>
      </c>
      <c r="E24" s="15">
        <v>275024.7</v>
      </c>
      <c r="F24" s="16">
        <v>-8.8680398524205228E-2</v>
      </c>
      <c r="G24" s="15">
        <v>250635.40000000002</v>
      </c>
      <c r="H24" s="41">
        <v>-1.7758864071078342E-3</v>
      </c>
      <c r="I24" s="17">
        <v>250190.3</v>
      </c>
    </row>
    <row r="25" spans="1:9">
      <c r="A25" s="8" t="s">
        <v>572</v>
      </c>
      <c r="B25" s="29" t="s">
        <v>613</v>
      </c>
      <c r="C25" s="15">
        <v>1395811.6</v>
      </c>
      <c r="D25" s="16">
        <v>9.3468201582505156E-3</v>
      </c>
      <c r="E25" s="15">
        <v>1408858</v>
      </c>
      <c r="F25" s="16">
        <v>1.274322891306302E-2</v>
      </c>
      <c r="G25" s="15">
        <v>1426811.4000000001</v>
      </c>
      <c r="H25" s="41">
        <v>7.9791905223071617E-3</v>
      </c>
      <c r="I25" s="17">
        <v>1438196.2</v>
      </c>
    </row>
    <row r="26" spans="1:9">
      <c r="A26" s="56" t="s">
        <v>574</v>
      </c>
      <c r="B26" s="29" t="s">
        <v>632</v>
      </c>
      <c r="C26" s="15">
        <v>75191.600000000006</v>
      </c>
      <c r="D26" s="16">
        <v>-0.19430228908548305</v>
      </c>
      <c r="E26" s="15">
        <v>60581.7</v>
      </c>
      <c r="F26" s="16">
        <v>4.1867428612930996E-2</v>
      </c>
      <c r="G26" s="15">
        <v>63118.1</v>
      </c>
      <c r="H26" s="41">
        <v>0.75581014003906954</v>
      </c>
      <c r="I26" s="17">
        <v>110823.4</v>
      </c>
    </row>
    <row r="27" spans="1:9">
      <c r="A27" s="150">
        <v>489</v>
      </c>
      <c r="B27" s="29" t="s">
        <v>407</v>
      </c>
      <c r="C27" s="15">
        <v>0</v>
      </c>
      <c r="D27" s="16" t="s">
        <v>555</v>
      </c>
      <c r="E27" s="15">
        <v>0</v>
      </c>
      <c r="F27" s="16" t="s">
        <v>555</v>
      </c>
      <c r="G27" s="15">
        <v>0</v>
      </c>
      <c r="H27" s="41" t="s">
        <v>555</v>
      </c>
      <c r="I27" s="17">
        <v>0</v>
      </c>
    </row>
    <row r="28" spans="1:9">
      <c r="A28" s="30" t="s">
        <v>576</v>
      </c>
      <c r="B28" s="31" t="s">
        <v>447</v>
      </c>
      <c r="C28" s="20">
        <v>148098.5</v>
      </c>
      <c r="D28" s="16">
        <v>-0.10399632676900854</v>
      </c>
      <c r="E28" s="20">
        <v>132696.79999999999</v>
      </c>
      <c r="F28" s="16">
        <v>9.4352689740822823E-2</v>
      </c>
      <c r="G28" s="20">
        <v>145217.1</v>
      </c>
      <c r="H28" s="41">
        <v>-0.24770016754225227</v>
      </c>
      <c r="I28" s="21">
        <v>109246.8</v>
      </c>
    </row>
    <row r="29" spans="1:9">
      <c r="A29" s="48" t="s">
        <v>578</v>
      </c>
      <c r="B29" s="49" t="s">
        <v>633</v>
      </c>
      <c r="C29" s="24">
        <v>3134649.4</v>
      </c>
      <c r="D29" s="50">
        <v>6.0416006970349795E-3</v>
      </c>
      <c r="E29" s="24">
        <v>3153587.7</v>
      </c>
      <c r="F29" s="50">
        <v>-3.834489841522226E-3</v>
      </c>
      <c r="G29" s="24">
        <v>3141495.3000000007</v>
      </c>
      <c r="H29" s="243">
        <v>2.3861725974888153E-2</v>
      </c>
      <c r="I29" s="26">
        <v>3216456.8</v>
      </c>
    </row>
    <row r="30" spans="1:9">
      <c r="A30" s="47" t="s">
        <v>580</v>
      </c>
      <c r="B30" s="32" t="s">
        <v>634</v>
      </c>
      <c r="C30" s="33">
        <v>-53545.200000000652</v>
      </c>
      <c r="D30" s="117">
        <v>0</v>
      </c>
      <c r="E30" s="33">
        <v>5371.8999999999069</v>
      </c>
      <c r="F30" s="117">
        <v>0</v>
      </c>
      <c r="G30" s="34">
        <v>-83922.499999999069</v>
      </c>
      <c r="H30" s="244">
        <v>0</v>
      </c>
      <c r="I30" s="35">
        <v>5818.5999999996275</v>
      </c>
    </row>
    <row r="31" spans="1:9">
      <c r="A31" s="120">
        <v>0</v>
      </c>
      <c r="B31" s="28" t="s">
        <v>635</v>
      </c>
      <c r="C31" s="118">
        <v>0</v>
      </c>
      <c r="D31" s="123">
        <v>0</v>
      </c>
      <c r="E31" s="118">
        <v>0</v>
      </c>
      <c r="F31" s="123">
        <v>0</v>
      </c>
      <c r="G31" s="118">
        <v>0</v>
      </c>
      <c r="H31" s="245">
        <v>0</v>
      </c>
      <c r="I31" s="119">
        <v>0</v>
      </c>
    </row>
    <row r="32" spans="1:9">
      <c r="A32" s="56" t="s">
        <v>583</v>
      </c>
      <c r="B32" s="29" t="s">
        <v>636</v>
      </c>
      <c r="C32" s="15">
        <v>335921.3</v>
      </c>
      <c r="D32" s="16">
        <v>-0.15822932335639323</v>
      </c>
      <c r="E32" s="15">
        <v>282768.7</v>
      </c>
      <c r="F32" s="16">
        <v>0.18634276000137201</v>
      </c>
      <c r="G32" s="15">
        <v>335460.59999999998</v>
      </c>
      <c r="H32" s="41">
        <v>0.2774829592506543</v>
      </c>
      <c r="I32" s="17">
        <v>428545.2</v>
      </c>
    </row>
    <row r="33" spans="1:9">
      <c r="A33" s="56" t="s">
        <v>585</v>
      </c>
      <c r="B33" s="29" t="s">
        <v>637</v>
      </c>
      <c r="C33" s="15">
        <v>47921.5</v>
      </c>
      <c r="D33" s="16">
        <v>0.1553749360934028</v>
      </c>
      <c r="E33" s="15">
        <v>55367.3</v>
      </c>
      <c r="F33" s="16">
        <v>-0.11771749751206947</v>
      </c>
      <c r="G33" s="15">
        <v>48849.599999999999</v>
      </c>
      <c r="H33" s="41">
        <v>-7.8766253971373296E-2</v>
      </c>
      <c r="I33" s="17">
        <v>45001.9</v>
      </c>
    </row>
    <row r="34" spans="1:9">
      <c r="A34" s="8" t="s">
        <v>587</v>
      </c>
      <c r="B34" s="29" t="s">
        <v>638</v>
      </c>
      <c r="C34" s="15">
        <v>136117.5</v>
      </c>
      <c r="D34" s="16">
        <v>4.2433926570793618E-2</v>
      </c>
      <c r="E34" s="15">
        <v>141893.5</v>
      </c>
      <c r="F34" s="16">
        <v>-5.795543840979326E-2</v>
      </c>
      <c r="G34" s="15">
        <v>133670</v>
      </c>
      <c r="H34" s="41">
        <v>3.6797336724770043E-2</v>
      </c>
      <c r="I34" s="17">
        <v>138588.70000000001</v>
      </c>
    </row>
    <row r="35" spans="1:9">
      <c r="A35" s="48" t="s">
        <v>589</v>
      </c>
      <c r="B35" s="49" t="s">
        <v>639</v>
      </c>
      <c r="C35" s="24">
        <v>519960.3</v>
      </c>
      <c r="D35" s="51">
        <v>-7.6795863068776574E-2</v>
      </c>
      <c r="E35" s="24">
        <v>480029.5</v>
      </c>
      <c r="F35" s="51">
        <v>7.9059099492843565E-2</v>
      </c>
      <c r="G35" s="24">
        <v>517980.19999999995</v>
      </c>
      <c r="H35" s="243">
        <v>0.18177451570542677</v>
      </c>
      <c r="I35" s="26">
        <v>612135.80000000005</v>
      </c>
    </row>
    <row r="36" spans="1:9">
      <c r="A36" s="8" t="s">
        <v>591</v>
      </c>
      <c r="B36" s="29" t="s">
        <v>640</v>
      </c>
      <c r="C36" s="15">
        <v>3689.8</v>
      </c>
      <c r="D36" s="16">
        <v>-1</v>
      </c>
      <c r="E36" s="15">
        <v>0</v>
      </c>
      <c r="F36" s="16" t="s">
        <v>555</v>
      </c>
      <c r="G36" s="15">
        <v>705.2</v>
      </c>
      <c r="H36" s="41">
        <v>3.8383437322745322</v>
      </c>
      <c r="I36" s="17">
        <v>3412</v>
      </c>
    </row>
    <row r="37" spans="1:9">
      <c r="A37" s="8" t="s">
        <v>593</v>
      </c>
      <c r="B37" s="29" t="s">
        <v>641</v>
      </c>
      <c r="C37" s="15">
        <v>314500</v>
      </c>
      <c r="D37" s="16">
        <v>-6.68197138314785E-2</v>
      </c>
      <c r="E37" s="15">
        <v>293485.2</v>
      </c>
      <c r="F37" s="16">
        <v>0.16637568095426955</v>
      </c>
      <c r="G37" s="15">
        <v>342314</v>
      </c>
      <c r="H37" s="41">
        <v>0.22157989448284329</v>
      </c>
      <c r="I37" s="17">
        <v>418163.9</v>
      </c>
    </row>
    <row r="38" spans="1:9">
      <c r="A38" s="48" t="s">
        <v>595</v>
      </c>
      <c r="B38" s="49" t="s">
        <v>642</v>
      </c>
      <c r="C38" s="24">
        <v>318189.8</v>
      </c>
      <c r="D38" s="51">
        <v>-7.7641080889456468E-2</v>
      </c>
      <c r="E38" s="24">
        <v>293485.2</v>
      </c>
      <c r="F38" s="51">
        <v>0.1687785278439935</v>
      </c>
      <c r="G38" s="24">
        <v>343019.2</v>
      </c>
      <c r="H38" s="243">
        <v>0.22901546035907031</v>
      </c>
      <c r="I38" s="26">
        <v>421575.9</v>
      </c>
    </row>
    <row r="39" spans="1:9">
      <c r="A39" s="36" t="s">
        <v>597</v>
      </c>
      <c r="B39" s="37" t="s">
        <v>4</v>
      </c>
      <c r="C39" s="38">
        <v>201770.5</v>
      </c>
      <c r="D39" s="39">
        <v>-7.5462964110214387E-2</v>
      </c>
      <c r="E39" s="38">
        <v>186544.3</v>
      </c>
      <c r="F39" s="39">
        <v>-6.2094097755868431E-2</v>
      </c>
      <c r="G39" s="38">
        <v>174960.99999999994</v>
      </c>
      <c r="H39" s="246">
        <v>8.9156440578186488E-2</v>
      </c>
      <c r="I39" s="40">
        <v>190559.90000000002</v>
      </c>
    </row>
    <row r="40" spans="1:9">
      <c r="A40" s="112" t="s">
        <v>0</v>
      </c>
      <c r="B40" s="29" t="s">
        <v>334</v>
      </c>
      <c r="C40" s="15">
        <v>119131.99999999936</v>
      </c>
      <c r="D40" s="16">
        <v>0.58276449652487095</v>
      </c>
      <c r="E40" s="15">
        <v>188557.89999999991</v>
      </c>
      <c r="F40" s="16">
        <v>-0.51883320720054182</v>
      </c>
      <c r="G40" s="15">
        <v>90727.80000000092</v>
      </c>
      <c r="H40" s="41">
        <v>1.4090697669291816</v>
      </c>
      <c r="I40" s="17">
        <v>218569.59999999963</v>
      </c>
    </row>
    <row r="41" spans="1:9">
      <c r="A41" s="112" t="s">
        <v>0</v>
      </c>
      <c r="B41" s="29" t="s">
        <v>643</v>
      </c>
      <c r="C41" s="15">
        <v>-82638.50000000064</v>
      </c>
      <c r="D41" s="16">
        <v>-1.0243663667660945</v>
      </c>
      <c r="E41" s="15">
        <v>2013.5999999999185</v>
      </c>
      <c r="F41" s="16">
        <v>-42.832141438221313</v>
      </c>
      <c r="G41" s="15">
        <v>-84233.199999999022</v>
      </c>
      <c r="H41" s="41">
        <v>-1.3325256549673992</v>
      </c>
      <c r="I41" s="17">
        <v>28009.699999999604</v>
      </c>
    </row>
    <row r="42" spans="1:9">
      <c r="A42" s="121" t="s">
        <v>0</v>
      </c>
      <c r="B42" s="31" t="s">
        <v>644</v>
      </c>
      <c r="C42" s="20">
        <v>3305991.1</v>
      </c>
      <c r="D42" s="111">
        <v>-1.5873152229599025E-2</v>
      </c>
      <c r="E42" s="20">
        <v>3253514.6000000006</v>
      </c>
      <c r="F42" s="111">
        <v>3.1054417275397969E-2</v>
      </c>
      <c r="G42" s="20">
        <v>3354550.6</v>
      </c>
      <c r="H42" s="247">
        <v>4.2906194349848509E-3</v>
      </c>
      <c r="I42" s="21">
        <v>3368943.7</v>
      </c>
    </row>
    <row r="43" spans="1:9">
      <c r="A43" s="121" t="s">
        <v>0</v>
      </c>
      <c r="B43" s="31" t="s">
        <v>6</v>
      </c>
      <c r="C43" s="60">
        <v>0.59043319018389384</v>
      </c>
      <c r="D43" s="122">
        <v>0</v>
      </c>
      <c r="E43" s="60">
        <v>1.0107942188531085</v>
      </c>
      <c r="F43" s="167">
        <v>0</v>
      </c>
      <c r="G43" s="60">
        <v>0.51856013625894315</v>
      </c>
      <c r="H43" s="167">
        <v>0</v>
      </c>
      <c r="I43" s="168">
        <v>1.1469863281834194</v>
      </c>
    </row>
  </sheetData>
  <phoneticPr fontId="7" type="noConversion"/>
  <pageMargins left="0.23622047244094491" right="0.23622047244094491" top="0.74803149606299213" bottom="0.74803149606299213" header="0.31496062992125984" footer="0.31496062992125984"/>
  <pageSetup paperSize="9" orientation="landscape" r:id="rId1"/>
  <headerFooter alignWithMargins="0">
    <oddHeader>&amp;LFachgruppe für kantonale Finanzfragen (FkF)
Groupe d'études pour les finances cantonales
&amp;CKanton VD&amp;RZürich, 11.05.2015</oddHeader>
    <oddFooter>&amp;L&amp;F / &amp;A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7"/>
  <dimension ref="A1:I43"/>
  <sheetViews>
    <sheetView zoomScaleNormal="100" workbookViewId="0">
      <selection activeCell="P49" sqref="P49"/>
    </sheetView>
  </sheetViews>
  <sheetFormatPr baseColWidth="10" defaultRowHeight="12.75"/>
  <cols>
    <col min="1" max="1" width="10.42578125" customWidth="1"/>
    <col min="2" max="2" width="46.42578125" bestFit="1" customWidth="1"/>
    <col min="3" max="4" width="11.5703125" bestFit="1" customWidth="1"/>
    <col min="5" max="5" width="12.28515625" bestFit="1" customWidth="1"/>
    <col min="6" max="6" width="11.5703125" bestFit="1" customWidth="1"/>
    <col min="7" max="7" width="12.28515625" bestFit="1" customWidth="1"/>
    <col min="8" max="8" width="11.5703125" style="65" bestFit="1" customWidth="1"/>
    <col min="9" max="9" width="12.28515625" bestFit="1" customWidth="1"/>
  </cols>
  <sheetData>
    <row r="1" spans="1:9">
      <c r="A1" s="5" t="s">
        <v>528</v>
      </c>
      <c r="B1" s="6" t="s">
        <v>646</v>
      </c>
      <c r="C1" s="54" t="s">
        <v>487</v>
      </c>
      <c r="D1" s="7" t="s">
        <v>530</v>
      </c>
      <c r="E1" s="54" t="s">
        <v>254</v>
      </c>
      <c r="F1" s="7" t="s">
        <v>530</v>
      </c>
      <c r="G1" s="54" t="s">
        <v>487</v>
      </c>
      <c r="H1" s="7" t="s">
        <v>530</v>
      </c>
      <c r="I1" s="55" t="s">
        <v>254</v>
      </c>
    </row>
    <row r="2" spans="1:9">
      <c r="A2" s="112">
        <v>0</v>
      </c>
      <c r="B2" s="115">
        <v>0</v>
      </c>
      <c r="C2" s="62">
        <v>2013</v>
      </c>
      <c r="D2" s="3" t="s">
        <v>531</v>
      </c>
      <c r="E2" s="62">
        <v>2014</v>
      </c>
      <c r="F2" s="3" t="s">
        <v>531</v>
      </c>
      <c r="G2" s="63">
        <v>2014</v>
      </c>
      <c r="H2" s="3" t="s">
        <v>531</v>
      </c>
      <c r="I2" s="64">
        <v>2015</v>
      </c>
    </row>
    <row r="3" spans="1:9">
      <c r="A3" s="112">
        <v>0</v>
      </c>
      <c r="B3" s="2" t="s">
        <v>607</v>
      </c>
      <c r="C3" s="114">
        <v>0</v>
      </c>
      <c r="D3" s="113">
        <v>0</v>
      </c>
      <c r="E3" s="114">
        <v>0</v>
      </c>
      <c r="F3" s="115">
        <v>0</v>
      </c>
      <c r="G3" s="116">
        <v>0</v>
      </c>
      <c r="H3" s="113">
        <v>0</v>
      </c>
      <c r="I3" s="105">
        <v>0</v>
      </c>
    </row>
    <row r="4" spans="1:9">
      <c r="A4" s="5" t="s">
        <v>533</v>
      </c>
      <c r="B4" s="9" t="s">
        <v>484</v>
      </c>
      <c r="C4" s="10">
        <v>430066.38099999999</v>
      </c>
      <c r="D4" s="11">
        <v>3.8679617228671533E-2</v>
      </c>
      <c r="E4" s="10">
        <v>446701.18400000001</v>
      </c>
      <c r="F4" s="11">
        <v>0.1977150747825194</v>
      </c>
      <c r="G4" s="10">
        <v>535020.74199999997</v>
      </c>
      <c r="H4" s="241">
        <v>-0.15690919512051357</v>
      </c>
      <c r="I4" s="12">
        <v>451071.06800000003</v>
      </c>
    </row>
    <row r="5" spans="1:9">
      <c r="A5" s="13" t="s">
        <v>534</v>
      </c>
      <c r="B5" s="14" t="s">
        <v>608</v>
      </c>
      <c r="C5" s="15">
        <v>136069.21400000001</v>
      </c>
      <c r="D5" s="16">
        <v>2.142149509293103E-2</v>
      </c>
      <c r="E5" s="15">
        <v>138984.01999999999</v>
      </c>
      <c r="F5" s="16">
        <v>-5.2618358571006767E-2</v>
      </c>
      <c r="G5" s="15">
        <v>131670.90900000001</v>
      </c>
      <c r="H5" s="41">
        <v>0.12909419498273519</v>
      </c>
      <c r="I5" s="17">
        <v>148668.859</v>
      </c>
    </row>
    <row r="6" spans="1:9">
      <c r="A6" s="13" t="s">
        <v>482</v>
      </c>
      <c r="B6" s="14" t="s">
        <v>609</v>
      </c>
      <c r="C6" s="15">
        <v>18366.063999999998</v>
      </c>
      <c r="D6" s="16">
        <v>-5.9591646854764313E-2</v>
      </c>
      <c r="E6" s="15">
        <v>17271.599999999999</v>
      </c>
      <c r="F6" s="16">
        <v>-5.0988848745918136E-2</v>
      </c>
      <c r="G6" s="15">
        <v>16390.940999999999</v>
      </c>
      <c r="H6" s="41">
        <v>0.18703374016171492</v>
      </c>
      <c r="I6" s="17">
        <v>19456.599999999999</v>
      </c>
    </row>
    <row r="7" spans="1:9">
      <c r="A7" s="13" t="s">
        <v>537</v>
      </c>
      <c r="B7" s="14" t="s">
        <v>610</v>
      </c>
      <c r="C7" s="15">
        <v>32019.004000000001</v>
      </c>
      <c r="D7" s="16">
        <v>7.287222300856086E-2</v>
      </c>
      <c r="E7" s="15">
        <v>34352.300000000003</v>
      </c>
      <c r="F7" s="16">
        <v>-0.13239026207852175</v>
      </c>
      <c r="G7" s="15">
        <v>29804.39</v>
      </c>
      <c r="H7" s="41">
        <v>4.087954828131022E-2</v>
      </c>
      <c r="I7" s="17">
        <v>31022.78</v>
      </c>
    </row>
    <row r="8" spans="1:9">
      <c r="A8" s="13" t="s">
        <v>539</v>
      </c>
      <c r="B8" s="14" t="s">
        <v>611</v>
      </c>
      <c r="C8" s="15">
        <v>20650.795999999998</v>
      </c>
      <c r="D8" s="16">
        <v>9.7958645274497061E-2</v>
      </c>
      <c r="E8" s="15">
        <v>22673.72</v>
      </c>
      <c r="F8" s="16">
        <v>-9.3929668356140958E-2</v>
      </c>
      <c r="G8" s="15">
        <v>20543.985000000001</v>
      </c>
      <c r="H8" s="41">
        <v>9.1187761283898938E-2</v>
      </c>
      <c r="I8" s="17">
        <v>22417.345000000001</v>
      </c>
    </row>
    <row r="9" spans="1:9">
      <c r="A9" s="13" t="s">
        <v>541</v>
      </c>
      <c r="B9" s="14" t="s">
        <v>612</v>
      </c>
      <c r="C9" s="15">
        <v>55535.105000000003</v>
      </c>
      <c r="D9" s="16">
        <v>2.3326974892727767E-2</v>
      </c>
      <c r="E9" s="15">
        <v>56830.571000000004</v>
      </c>
      <c r="F9" s="16">
        <v>-5.2468239321403314E-3</v>
      </c>
      <c r="G9" s="15">
        <v>56532.391000000003</v>
      </c>
      <c r="H9" s="41">
        <v>-9.1981533206334773E-2</v>
      </c>
      <c r="I9" s="17">
        <v>51332.455000000002</v>
      </c>
    </row>
    <row r="10" spans="1:9">
      <c r="A10" s="13" t="s">
        <v>543</v>
      </c>
      <c r="B10" s="14" t="s">
        <v>613</v>
      </c>
      <c r="C10" s="15">
        <v>1306386.325</v>
      </c>
      <c r="D10" s="16">
        <v>1.7274510279338792E-2</v>
      </c>
      <c r="E10" s="15">
        <v>1328953.5090000001</v>
      </c>
      <c r="F10" s="16">
        <v>1.2214768906561103E-3</v>
      </c>
      <c r="G10" s="15">
        <v>1330576.7949999999</v>
      </c>
      <c r="H10" s="41">
        <v>2.8299622495671133E-2</v>
      </c>
      <c r="I10" s="17">
        <v>1368231.6159999999</v>
      </c>
    </row>
    <row r="11" spans="1:9">
      <c r="A11" s="13" t="s">
        <v>614</v>
      </c>
      <c r="B11" s="14" t="s">
        <v>615</v>
      </c>
      <c r="C11" s="15">
        <v>422519.93699999998</v>
      </c>
      <c r="D11" s="41">
        <v>-9.0006491220318327E-2</v>
      </c>
      <c r="E11" s="15">
        <v>384490.4</v>
      </c>
      <c r="F11" s="16">
        <v>-1.9203106241404593E-3</v>
      </c>
      <c r="G11" s="15">
        <v>383752.05900000001</v>
      </c>
      <c r="H11" s="41">
        <v>1.9837394540207543E-2</v>
      </c>
      <c r="I11" s="17">
        <v>391364.7</v>
      </c>
    </row>
    <row r="12" spans="1:9">
      <c r="A12" s="13" t="s">
        <v>616</v>
      </c>
      <c r="B12" s="14" t="s">
        <v>617</v>
      </c>
      <c r="C12" s="15">
        <v>164198.32399999999</v>
      </c>
      <c r="D12" s="41">
        <v>3.1762388756172724E-2</v>
      </c>
      <c r="E12" s="15">
        <v>169413.655</v>
      </c>
      <c r="F12" s="16">
        <v>3.0276071902232398E-2</v>
      </c>
      <c r="G12" s="15">
        <v>174542.83499999999</v>
      </c>
      <c r="H12" s="41">
        <v>-6.2714404747693043E-3</v>
      </c>
      <c r="I12" s="17">
        <v>173448.2</v>
      </c>
    </row>
    <row r="13" spans="1:9">
      <c r="A13" s="13" t="s">
        <v>618</v>
      </c>
      <c r="B13" s="14" t="s">
        <v>619</v>
      </c>
      <c r="C13" s="15">
        <v>152461.318</v>
      </c>
      <c r="D13" s="41">
        <v>5.0427643554806563E-2</v>
      </c>
      <c r="E13" s="15">
        <v>160149.58300000001</v>
      </c>
      <c r="F13" s="41">
        <v>-2.0219696731898492E-2</v>
      </c>
      <c r="G13" s="15">
        <v>156911.40700000001</v>
      </c>
      <c r="H13" s="41">
        <v>7.9397102085764781E-2</v>
      </c>
      <c r="I13" s="17">
        <v>169369.71799999999</v>
      </c>
    </row>
    <row r="14" spans="1:9">
      <c r="A14" s="13" t="s">
        <v>620</v>
      </c>
      <c r="B14" s="14" t="s">
        <v>621</v>
      </c>
      <c r="C14" s="15">
        <v>3480.2660000000001</v>
      </c>
      <c r="D14" s="41">
        <v>11.657078510665563</v>
      </c>
      <c r="E14" s="15">
        <v>44050</v>
      </c>
      <c r="F14" s="16">
        <v>7.0955754824063619E-2</v>
      </c>
      <c r="G14" s="15">
        <v>47175.601000000002</v>
      </c>
      <c r="H14" s="41">
        <v>-9.6575558200096348E-3</v>
      </c>
      <c r="I14" s="17">
        <v>46720</v>
      </c>
    </row>
    <row r="15" spans="1:9">
      <c r="A15" s="13" t="s">
        <v>622</v>
      </c>
      <c r="B15" s="14" t="s">
        <v>623</v>
      </c>
      <c r="C15" s="15">
        <v>0</v>
      </c>
      <c r="D15" s="41" t="s">
        <v>555</v>
      </c>
      <c r="E15" s="15">
        <v>0</v>
      </c>
      <c r="F15" s="16" t="s">
        <v>555</v>
      </c>
      <c r="G15" s="15">
        <v>0</v>
      </c>
      <c r="H15" s="41" t="s">
        <v>555</v>
      </c>
      <c r="I15" s="17">
        <v>0</v>
      </c>
    </row>
    <row r="16" spans="1:9">
      <c r="A16" s="13" t="s">
        <v>624</v>
      </c>
      <c r="B16" s="14" t="s">
        <v>625</v>
      </c>
      <c r="C16" s="15">
        <v>77566.937000000005</v>
      </c>
      <c r="D16" s="41">
        <v>4.8998492746980586E-2</v>
      </c>
      <c r="E16" s="15">
        <v>81367.600000000006</v>
      </c>
      <c r="F16" s="41">
        <v>5.4652097395030894E-3</v>
      </c>
      <c r="G16" s="15">
        <v>81812.290999999997</v>
      </c>
      <c r="H16" s="41">
        <v>3.0334182916354251E-2</v>
      </c>
      <c r="I16" s="17">
        <v>84294</v>
      </c>
    </row>
    <row r="17" spans="1:9">
      <c r="A17" s="13" t="s">
        <v>558</v>
      </c>
      <c r="B17" s="14" t="s">
        <v>626</v>
      </c>
      <c r="C17" s="15">
        <v>292286.15700000001</v>
      </c>
      <c r="D17" s="16">
        <v>-0.98732064481589532</v>
      </c>
      <c r="E17" s="15">
        <v>3706</v>
      </c>
      <c r="F17" s="16">
        <v>11.379967889908256</v>
      </c>
      <c r="G17" s="15">
        <v>45880.161</v>
      </c>
      <c r="H17" s="41">
        <v>-0.93752419482573301</v>
      </c>
      <c r="I17" s="17">
        <v>2866.4</v>
      </c>
    </row>
    <row r="18" spans="1:9">
      <c r="A18" s="13">
        <v>389</v>
      </c>
      <c r="B18" s="14" t="s">
        <v>417</v>
      </c>
      <c r="C18" s="15">
        <v>0</v>
      </c>
      <c r="D18" s="41" t="s">
        <v>555</v>
      </c>
      <c r="E18" s="15">
        <v>0</v>
      </c>
      <c r="F18" s="41" t="s">
        <v>555</v>
      </c>
      <c r="G18" s="15">
        <v>0</v>
      </c>
      <c r="H18" s="41" t="s">
        <v>555</v>
      </c>
      <c r="I18" s="17">
        <v>0</v>
      </c>
    </row>
    <row r="19" spans="1:9">
      <c r="A19" s="18" t="s">
        <v>560</v>
      </c>
      <c r="B19" s="19" t="s">
        <v>447</v>
      </c>
      <c r="C19" s="20">
        <v>54014.366000000002</v>
      </c>
      <c r="D19" s="41">
        <v>0.22435768291717045</v>
      </c>
      <c r="E19" s="20">
        <v>66132.903999999995</v>
      </c>
      <c r="F19" s="41">
        <v>1.5406491146978877E-2</v>
      </c>
      <c r="G19" s="20">
        <v>67151.78</v>
      </c>
      <c r="H19" s="41">
        <v>0.15781225754551848</v>
      </c>
      <c r="I19" s="21">
        <v>77749.153999999995</v>
      </c>
    </row>
    <row r="20" spans="1:9">
      <c r="A20" s="22" t="s">
        <v>562</v>
      </c>
      <c r="B20" s="23" t="s">
        <v>627</v>
      </c>
      <c r="C20" s="24">
        <v>2327027.3479999998</v>
      </c>
      <c r="D20" s="25">
        <v>-9.8276945561707116E-2</v>
      </c>
      <c r="E20" s="24">
        <v>2098334.2080000001</v>
      </c>
      <c r="F20" s="25">
        <v>5.6638711100877134E-2</v>
      </c>
      <c r="G20" s="24">
        <v>2217181.1529999999</v>
      </c>
      <c r="H20" s="242">
        <v>-2.8784962344481822E-2</v>
      </c>
      <c r="I20" s="26">
        <v>2153359.6770000001</v>
      </c>
    </row>
    <row r="21" spans="1:9">
      <c r="A21" s="27" t="s">
        <v>564</v>
      </c>
      <c r="B21" s="28" t="s">
        <v>628</v>
      </c>
      <c r="C21" s="10">
        <v>1048278.747</v>
      </c>
      <c r="D21" s="16">
        <v>-4.7820054678643573E-2</v>
      </c>
      <c r="E21" s="10">
        <v>998150</v>
      </c>
      <c r="F21" s="16">
        <v>2.8214117116665806E-2</v>
      </c>
      <c r="G21" s="10">
        <v>1026311.921</v>
      </c>
      <c r="H21" s="41">
        <v>-7.141903791644642E-3</v>
      </c>
      <c r="I21" s="12">
        <v>1018982.1</v>
      </c>
    </row>
    <row r="22" spans="1:9">
      <c r="A22" s="8" t="s">
        <v>566</v>
      </c>
      <c r="B22" s="29" t="s">
        <v>629</v>
      </c>
      <c r="C22" s="15">
        <v>63040.535000000003</v>
      </c>
      <c r="D22" s="16">
        <v>0.1141244280366592</v>
      </c>
      <c r="E22" s="15">
        <v>70235</v>
      </c>
      <c r="F22" s="16">
        <v>-2.7053990175838292E-2</v>
      </c>
      <c r="G22" s="15">
        <v>68334.862999999998</v>
      </c>
      <c r="H22" s="41">
        <v>7.2823296653130405E-3</v>
      </c>
      <c r="I22" s="17">
        <v>68832.5</v>
      </c>
    </row>
    <row r="23" spans="1:9">
      <c r="A23" s="8" t="s">
        <v>568</v>
      </c>
      <c r="B23" s="29" t="s">
        <v>630</v>
      </c>
      <c r="C23" s="15">
        <v>53488.436999999998</v>
      </c>
      <c r="D23" s="16">
        <v>0.11477297420375178</v>
      </c>
      <c r="E23" s="15">
        <v>59627.464</v>
      </c>
      <c r="F23" s="16">
        <v>3.2341204381927079E-2</v>
      </c>
      <c r="G23" s="15">
        <v>61555.887999999999</v>
      </c>
      <c r="H23" s="41">
        <v>-5.1476602855603383E-2</v>
      </c>
      <c r="I23" s="17">
        <v>58387.199999999997</v>
      </c>
    </row>
    <row r="24" spans="1:9">
      <c r="A24" s="8" t="s">
        <v>570</v>
      </c>
      <c r="B24" s="29" t="s">
        <v>631</v>
      </c>
      <c r="C24" s="15">
        <v>147830.02900000001</v>
      </c>
      <c r="D24" s="16">
        <v>-2.806658449617163E-2</v>
      </c>
      <c r="E24" s="15">
        <v>143680.94500000001</v>
      </c>
      <c r="F24" s="16">
        <v>2.0104468271697307E-2</v>
      </c>
      <c r="G24" s="15">
        <v>146569.57399999999</v>
      </c>
      <c r="H24" s="41">
        <v>-1.3097807052369483E-2</v>
      </c>
      <c r="I24" s="17">
        <v>144649.834</v>
      </c>
    </row>
    <row r="25" spans="1:9">
      <c r="A25" s="8" t="s">
        <v>572</v>
      </c>
      <c r="B25" s="29" t="s">
        <v>613</v>
      </c>
      <c r="C25" s="15">
        <v>684459.26</v>
      </c>
      <c r="D25" s="16">
        <v>6.084738630024529E-2</v>
      </c>
      <c r="E25" s="15">
        <v>726106.81700000004</v>
      </c>
      <c r="F25" s="16">
        <v>-7.1188671955411172E-3</v>
      </c>
      <c r="G25" s="15">
        <v>720937.75899999996</v>
      </c>
      <c r="H25" s="41">
        <v>6.0077888082985073E-2</v>
      </c>
      <c r="I25" s="17">
        <v>764250.17700000003</v>
      </c>
    </row>
    <row r="26" spans="1:9">
      <c r="A26" s="56" t="s">
        <v>574</v>
      </c>
      <c r="B26" s="29" t="s">
        <v>632</v>
      </c>
      <c r="C26" s="15">
        <v>39162.442999999999</v>
      </c>
      <c r="D26" s="16">
        <v>-0.51605281621475962</v>
      </c>
      <c r="E26" s="15">
        <v>18952.554</v>
      </c>
      <c r="F26" s="16">
        <v>5.6688929101587044</v>
      </c>
      <c r="G26" s="15">
        <v>126392.553</v>
      </c>
      <c r="H26" s="41">
        <v>-0.92692582924565181</v>
      </c>
      <c r="I26" s="17">
        <v>9236.0310000000009</v>
      </c>
    </row>
    <row r="27" spans="1:9">
      <c r="A27" s="150">
        <v>489</v>
      </c>
      <c r="B27" s="29" t="s">
        <v>407</v>
      </c>
      <c r="C27" s="15">
        <v>0</v>
      </c>
      <c r="D27" s="16" t="s">
        <v>555</v>
      </c>
      <c r="E27" s="15">
        <v>0</v>
      </c>
      <c r="F27" s="16" t="s">
        <v>555</v>
      </c>
      <c r="G27" s="15">
        <v>0</v>
      </c>
      <c r="H27" s="41" t="s">
        <v>555</v>
      </c>
      <c r="I27" s="17">
        <v>0</v>
      </c>
    </row>
    <row r="28" spans="1:9">
      <c r="A28" s="30" t="s">
        <v>576</v>
      </c>
      <c r="B28" s="31" t="s">
        <v>447</v>
      </c>
      <c r="C28" s="20">
        <v>54014.366000000002</v>
      </c>
      <c r="D28" s="16">
        <v>0.22435768291717045</v>
      </c>
      <c r="E28" s="20">
        <v>66132.903999999995</v>
      </c>
      <c r="F28" s="16">
        <v>1.5406491146978877E-2</v>
      </c>
      <c r="G28" s="20">
        <v>67151.78</v>
      </c>
      <c r="H28" s="41">
        <v>0.15781225754551848</v>
      </c>
      <c r="I28" s="21">
        <v>77749.153999999995</v>
      </c>
    </row>
    <row r="29" spans="1:9">
      <c r="A29" s="48" t="s">
        <v>578</v>
      </c>
      <c r="B29" s="49" t="s">
        <v>633</v>
      </c>
      <c r="C29" s="24">
        <v>2090273.8169999998</v>
      </c>
      <c r="D29" s="50">
        <v>-3.5345287970947599E-3</v>
      </c>
      <c r="E29" s="24">
        <v>2082885.6840000001</v>
      </c>
      <c r="F29" s="50">
        <v>6.4510815467297339E-2</v>
      </c>
      <c r="G29" s="24">
        <v>2217254.3379999995</v>
      </c>
      <c r="H29" s="243">
        <v>-3.3901091413717312E-2</v>
      </c>
      <c r="I29" s="26">
        <v>2142086.9960000003</v>
      </c>
    </row>
    <row r="30" spans="1:9">
      <c r="A30" s="47" t="s">
        <v>580</v>
      </c>
      <c r="B30" s="32" t="s">
        <v>634</v>
      </c>
      <c r="C30" s="33">
        <v>-236753.53099999996</v>
      </c>
      <c r="D30" s="117">
        <v>0</v>
      </c>
      <c r="E30" s="33">
        <v>-15448.523999999976</v>
      </c>
      <c r="F30" s="117">
        <v>0</v>
      </c>
      <c r="G30" s="34">
        <v>73.184999999590218</v>
      </c>
      <c r="H30" s="244">
        <v>0</v>
      </c>
      <c r="I30" s="35">
        <v>-11272.680999999866</v>
      </c>
    </row>
    <row r="31" spans="1:9">
      <c r="A31" s="120">
        <v>0</v>
      </c>
      <c r="B31" s="28" t="s">
        <v>635</v>
      </c>
      <c r="C31" s="118">
        <v>0</v>
      </c>
      <c r="D31" s="123">
        <v>0</v>
      </c>
      <c r="E31" s="118">
        <v>0</v>
      </c>
      <c r="F31" s="123">
        <v>0</v>
      </c>
      <c r="G31" s="118">
        <v>0</v>
      </c>
      <c r="H31" s="245">
        <v>0</v>
      </c>
      <c r="I31" s="119">
        <v>0</v>
      </c>
    </row>
    <row r="32" spans="1:9">
      <c r="A32" s="56" t="s">
        <v>583</v>
      </c>
      <c r="B32" s="29" t="s">
        <v>636</v>
      </c>
      <c r="C32" s="15">
        <v>93357.781000000003</v>
      </c>
      <c r="D32" s="16">
        <v>-0.20210116176604498</v>
      </c>
      <c r="E32" s="15">
        <v>74490.065000000002</v>
      </c>
      <c r="F32" s="16">
        <v>-0.19449287633189746</v>
      </c>
      <c r="G32" s="15">
        <v>60002.277999999998</v>
      </c>
      <c r="H32" s="41">
        <v>0.20830372473525083</v>
      </c>
      <c r="I32" s="17">
        <v>72500.975999999995</v>
      </c>
    </row>
    <row r="33" spans="1:9">
      <c r="A33" s="56" t="s">
        <v>585</v>
      </c>
      <c r="B33" s="29" t="s">
        <v>637</v>
      </c>
      <c r="C33" s="15">
        <v>2040</v>
      </c>
      <c r="D33" s="16">
        <v>-0.63235294117647056</v>
      </c>
      <c r="E33" s="15">
        <v>750</v>
      </c>
      <c r="F33" s="16">
        <v>1.7626666666666666</v>
      </c>
      <c r="G33" s="15">
        <v>2072</v>
      </c>
      <c r="H33" s="41">
        <v>2.9020270270270272</v>
      </c>
      <c r="I33" s="17">
        <v>8085</v>
      </c>
    </row>
    <row r="34" spans="1:9">
      <c r="A34" s="8" t="s">
        <v>587</v>
      </c>
      <c r="B34" s="29" t="s">
        <v>638</v>
      </c>
      <c r="C34" s="15">
        <v>16852.454000000002</v>
      </c>
      <c r="D34" s="16">
        <v>0.37529525373574651</v>
      </c>
      <c r="E34" s="15">
        <v>23177.1</v>
      </c>
      <c r="F34" s="16">
        <v>-0.21317628176087594</v>
      </c>
      <c r="G34" s="15">
        <v>18236.292000000001</v>
      </c>
      <c r="H34" s="41">
        <v>0.26435242427572431</v>
      </c>
      <c r="I34" s="17">
        <v>23057.1</v>
      </c>
    </row>
    <row r="35" spans="1:9">
      <c r="A35" s="48" t="s">
        <v>589</v>
      </c>
      <c r="B35" s="49" t="s">
        <v>639</v>
      </c>
      <c r="C35" s="24">
        <v>112250.235</v>
      </c>
      <c r="D35" s="51">
        <v>-0.123234218618785</v>
      </c>
      <c r="E35" s="24">
        <v>98417.165000000008</v>
      </c>
      <c r="F35" s="51">
        <v>-0.18397801846862791</v>
      </c>
      <c r="G35" s="24">
        <v>80310.570000000007</v>
      </c>
      <c r="H35" s="243">
        <v>0.29052845721304171</v>
      </c>
      <c r="I35" s="26">
        <v>103643.076</v>
      </c>
    </row>
    <row r="36" spans="1:9">
      <c r="A36" s="8" t="s">
        <v>591</v>
      </c>
      <c r="B36" s="29" t="s">
        <v>640</v>
      </c>
      <c r="C36" s="15">
        <v>3357.009</v>
      </c>
      <c r="D36" s="16">
        <v>-0.67977446590104462</v>
      </c>
      <c r="E36" s="15">
        <v>1075</v>
      </c>
      <c r="F36" s="16">
        <v>0.56323813953488366</v>
      </c>
      <c r="G36" s="15">
        <v>1680.481</v>
      </c>
      <c r="H36" s="41">
        <v>8.9632188641228314</v>
      </c>
      <c r="I36" s="17">
        <v>16743</v>
      </c>
    </row>
    <row r="37" spans="1:9">
      <c r="A37" s="8" t="s">
        <v>593</v>
      </c>
      <c r="B37" s="29" t="s">
        <v>641</v>
      </c>
      <c r="C37" s="15">
        <v>54699.332999999999</v>
      </c>
      <c r="D37" s="16">
        <v>-0.29901768637654136</v>
      </c>
      <c r="E37" s="15">
        <v>38343.264999999999</v>
      </c>
      <c r="F37" s="16">
        <v>-0.22192319824615872</v>
      </c>
      <c r="G37" s="15">
        <v>29834.005000000001</v>
      </c>
      <c r="H37" s="41">
        <v>1.5026477336850385E-3</v>
      </c>
      <c r="I37" s="17">
        <v>29878.834999999999</v>
      </c>
    </row>
    <row r="38" spans="1:9">
      <c r="A38" s="48" t="s">
        <v>595</v>
      </c>
      <c r="B38" s="49" t="s">
        <v>642</v>
      </c>
      <c r="C38" s="24">
        <v>58056.341999999997</v>
      </c>
      <c r="D38" s="51">
        <v>-0.32103429802725081</v>
      </c>
      <c r="E38" s="24">
        <v>39418.264999999999</v>
      </c>
      <c r="F38" s="51">
        <v>-0.2005105754908289</v>
      </c>
      <c r="G38" s="24">
        <v>31514.486000000001</v>
      </c>
      <c r="H38" s="243">
        <v>0.47937792797889828</v>
      </c>
      <c r="I38" s="26">
        <v>46621.834999999999</v>
      </c>
    </row>
    <row r="39" spans="1:9">
      <c r="A39" s="36" t="s">
        <v>597</v>
      </c>
      <c r="B39" s="37" t="s">
        <v>4</v>
      </c>
      <c r="C39" s="38">
        <v>54193.893000000004</v>
      </c>
      <c r="D39" s="39">
        <v>8.8663255839546443E-2</v>
      </c>
      <c r="E39" s="38">
        <v>58998.900000000009</v>
      </c>
      <c r="F39" s="39">
        <v>-0.17293230890745429</v>
      </c>
      <c r="G39" s="38">
        <v>48796.084000000003</v>
      </c>
      <c r="H39" s="246">
        <v>0.16856182557600316</v>
      </c>
      <c r="I39" s="40">
        <v>57021.241000000002</v>
      </c>
    </row>
    <row r="40" spans="1:9">
      <c r="A40" s="112" t="s">
        <v>0</v>
      </c>
      <c r="B40" s="29" t="s">
        <v>334</v>
      </c>
      <c r="C40" s="15">
        <v>-181218.42599999995</v>
      </c>
      <c r="D40" s="16">
        <v>-1.2283545217416247</v>
      </c>
      <c r="E40" s="15">
        <v>41382.047000000028</v>
      </c>
      <c r="F40" s="16">
        <v>0.36787762094029702</v>
      </c>
      <c r="G40" s="15">
        <v>56605.575999999593</v>
      </c>
      <c r="H40" s="41">
        <v>-0.29229986105961675</v>
      </c>
      <c r="I40" s="17">
        <v>40059.774000000136</v>
      </c>
    </row>
    <row r="41" spans="1:9">
      <c r="A41" s="112" t="s">
        <v>0</v>
      </c>
      <c r="B41" s="29" t="s">
        <v>643</v>
      </c>
      <c r="C41" s="15">
        <v>-235412.31899999996</v>
      </c>
      <c r="D41" s="16">
        <v>-0.92516596805624274</v>
      </c>
      <c r="E41" s="15">
        <v>-17616.852999999981</v>
      </c>
      <c r="F41" s="16">
        <v>-1.4432966546294959</v>
      </c>
      <c r="G41" s="15">
        <v>7809.4919999995909</v>
      </c>
      <c r="H41" s="41">
        <v>-3.1719040111700934</v>
      </c>
      <c r="I41" s="17">
        <v>-16961.466999999866</v>
      </c>
    </row>
    <row r="42" spans="1:9">
      <c r="A42" s="121" t="s">
        <v>0</v>
      </c>
      <c r="B42" s="31" t="s">
        <v>644</v>
      </c>
      <c r="C42" s="20">
        <v>2016791.1589999995</v>
      </c>
      <c r="D42" s="111">
        <v>1.5181055739644051E-2</v>
      </c>
      <c r="E42" s="20">
        <v>2047408.1779999998</v>
      </c>
      <c r="F42" s="111">
        <v>2.9293244329319363E-2</v>
      </c>
      <c r="G42" s="20">
        <v>2107383.4060000004</v>
      </c>
      <c r="H42" s="247">
        <v>-2.2520852097858272E-3</v>
      </c>
      <c r="I42" s="21">
        <v>2102637.3989999997</v>
      </c>
    </row>
    <row r="43" spans="1:9">
      <c r="A43" s="121" t="s">
        <v>0</v>
      </c>
      <c r="B43" s="31" t="s">
        <v>6</v>
      </c>
      <c r="C43" s="60" t="s">
        <v>601</v>
      </c>
      <c r="D43" s="122">
        <v>0</v>
      </c>
      <c r="E43" s="60">
        <v>0.70140370413685715</v>
      </c>
      <c r="F43" s="167">
        <v>0</v>
      </c>
      <c r="G43" s="60">
        <v>1.1600434165987499</v>
      </c>
      <c r="H43" s="167">
        <v>0</v>
      </c>
      <c r="I43" s="168">
        <v>0.70254125125056699</v>
      </c>
    </row>
  </sheetData>
  <phoneticPr fontId="7" type="noConversion"/>
  <pageMargins left="0.23622047244094491" right="0.23622047244094491" top="0.74803149606299213" bottom="0.74803149606299213" header="0.31496062992125984" footer="0.31496062992125984"/>
  <pageSetup paperSize="9" orientation="landscape" r:id="rId1"/>
  <headerFooter alignWithMargins="0">
    <oddHeader>&amp;LFachgruppe für kantonale Finanzfragen (FkF)
Groupe d'études pour les finances cantonales
&amp;CKanton VD&amp;RZürich, 11.05.2015</oddHeader>
    <oddFooter>&amp;L&amp;F / 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11">
    <tabColor rgb="FF00B050"/>
  </sheetPr>
  <dimension ref="A1:AK186"/>
  <sheetViews>
    <sheetView zoomScale="115" zoomScaleNormal="115" workbookViewId="0">
      <selection activeCell="G10" sqref="G10"/>
    </sheetView>
  </sheetViews>
  <sheetFormatPr baseColWidth="10" defaultColWidth="11.42578125" defaultRowHeight="12.75"/>
  <cols>
    <col min="1" max="1" width="15.140625" style="470" customWidth="1"/>
    <col min="2" max="2" width="3.7109375" style="470" customWidth="1"/>
    <col min="3" max="3" width="44.7109375" style="470" customWidth="1"/>
    <col min="4" max="16384" width="11.42578125" style="470"/>
  </cols>
  <sheetData>
    <row r="1" spans="1:37" s="642" customFormat="1" ht="18" customHeight="1">
      <c r="A1" s="752" t="s">
        <v>258</v>
      </c>
      <c r="B1" s="811" t="s">
        <v>507</v>
      </c>
      <c r="C1" s="811" t="s">
        <v>506</v>
      </c>
      <c r="D1" s="643" t="s">
        <v>255</v>
      </c>
      <c r="E1" s="644" t="s">
        <v>254</v>
      </c>
      <c r="F1" s="643" t="s">
        <v>255</v>
      </c>
      <c r="G1" s="644" t="s">
        <v>254</v>
      </c>
      <c r="H1" s="608"/>
      <c r="I1" s="608"/>
      <c r="J1" s="608"/>
      <c r="K1" s="608"/>
      <c r="L1" s="608"/>
      <c r="M1" s="608"/>
      <c r="N1" s="608"/>
      <c r="O1" s="608"/>
      <c r="P1" s="608"/>
      <c r="Q1" s="608"/>
      <c r="R1" s="608"/>
      <c r="S1" s="608"/>
      <c r="T1" s="608"/>
      <c r="U1" s="608"/>
      <c r="V1" s="608"/>
      <c r="W1" s="608"/>
      <c r="X1" s="608"/>
      <c r="Y1" s="608"/>
      <c r="Z1" s="608"/>
      <c r="AA1" s="608"/>
      <c r="AB1" s="608"/>
      <c r="AC1" s="608"/>
      <c r="AD1" s="608"/>
      <c r="AE1" s="608"/>
      <c r="AF1" s="608"/>
      <c r="AG1" s="608"/>
      <c r="AH1" s="608"/>
      <c r="AI1" s="608"/>
      <c r="AJ1" s="608"/>
      <c r="AK1" s="608"/>
    </row>
    <row r="2" spans="1:37" s="636" customFormat="1" ht="15" customHeight="1">
      <c r="A2" s="641"/>
      <c r="B2" s="640"/>
      <c r="C2" s="639" t="s">
        <v>253</v>
      </c>
      <c r="D2" s="637">
        <v>2013</v>
      </c>
      <c r="E2" s="638">
        <v>2014</v>
      </c>
      <c r="F2" s="637">
        <v>2014</v>
      </c>
      <c r="G2" s="638">
        <v>2015</v>
      </c>
    </row>
    <row r="3" spans="1:37" ht="15" customHeight="1">
      <c r="A3" s="949" t="s">
        <v>252</v>
      </c>
      <c r="B3" s="950"/>
      <c r="C3" s="950"/>
      <c r="D3" s="512"/>
      <c r="E3" s="635" t="s">
        <v>251</v>
      </c>
      <c r="F3" s="512"/>
      <c r="G3" s="635"/>
    </row>
    <row r="4" spans="1:37" s="480" customFormat="1" ht="12.75" customHeight="1">
      <c r="A4" s="670">
        <v>30</v>
      </c>
      <c r="B4" s="669"/>
      <c r="C4" s="632" t="s">
        <v>250</v>
      </c>
      <c r="D4" s="453">
        <v>612285.10719999997</v>
      </c>
      <c r="E4" s="453">
        <v>628344.77599999995</v>
      </c>
      <c r="F4" s="453">
        <v>614555.92935999995</v>
      </c>
      <c r="G4" s="453">
        <v>618023.86060000001</v>
      </c>
    </row>
    <row r="5" spans="1:37" s="480" customFormat="1" ht="12.75" customHeight="1">
      <c r="A5" s="591">
        <v>31</v>
      </c>
      <c r="B5" s="587"/>
      <c r="C5" s="585" t="s">
        <v>249</v>
      </c>
      <c r="D5" s="317">
        <v>225901.65070999999</v>
      </c>
      <c r="E5" s="361">
        <v>228229.041</v>
      </c>
      <c r="F5" s="317">
        <v>208624.38522</v>
      </c>
      <c r="G5" s="361">
        <v>225790.49293000001</v>
      </c>
    </row>
    <row r="6" spans="1:37" s="480" customFormat="1" ht="12.75" customHeight="1">
      <c r="A6" s="630" t="s">
        <v>248</v>
      </c>
      <c r="B6" s="586"/>
      <c r="C6" s="616" t="s">
        <v>247</v>
      </c>
      <c r="D6" s="322">
        <v>45264.879430000001</v>
      </c>
      <c r="E6" s="321">
        <v>38610.972999999998</v>
      </c>
      <c r="F6" s="322">
        <v>37937.193339999998</v>
      </c>
      <c r="G6" s="361">
        <v>38948.370000000003</v>
      </c>
    </row>
    <row r="7" spans="1:37" s="480" customFormat="1" ht="12.75" customHeight="1">
      <c r="A7" s="630" t="s">
        <v>246</v>
      </c>
      <c r="B7" s="586"/>
      <c r="C7" s="616" t="s">
        <v>245</v>
      </c>
      <c r="D7" s="322">
        <v>309.149</v>
      </c>
      <c r="E7" s="321">
        <v>50</v>
      </c>
      <c r="F7" s="322">
        <v>104.1943</v>
      </c>
      <c r="G7" s="361">
        <v>20</v>
      </c>
    </row>
    <row r="8" spans="1:37" s="480" customFormat="1" ht="12.75" customHeight="1">
      <c r="A8" s="593">
        <v>330</v>
      </c>
      <c r="B8" s="587"/>
      <c r="C8" s="585" t="s">
        <v>244</v>
      </c>
      <c r="D8" s="317">
        <v>116933.61345999999</v>
      </c>
      <c r="E8" s="316">
        <v>121544.56737999999</v>
      </c>
      <c r="F8" s="317">
        <v>122395.13278</v>
      </c>
      <c r="G8" s="361">
        <v>124188.79475</v>
      </c>
    </row>
    <row r="9" spans="1:37" s="480" customFormat="1" ht="12.75" customHeight="1">
      <c r="A9" s="593">
        <v>332</v>
      </c>
      <c r="B9" s="587"/>
      <c r="C9" s="585" t="s">
        <v>243</v>
      </c>
      <c r="D9" s="317">
        <v>11864.733459999999</v>
      </c>
      <c r="E9" s="316">
        <v>12390.04</v>
      </c>
      <c r="F9" s="317">
        <v>11169.358389999999</v>
      </c>
      <c r="G9" s="361">
        <v>10914.813</v>
      </c>
    </row>
    <row r="10" spans="1:37" s="480" customFormat="1" ht="12.75" customHeight="1">
      <c r="A10" s="593">
        <v>339</v>
      </c>
      <c r="B10" s="587"/>
      <c r="C10" s="585" t="s">
        <v>242</v>
      </c>
      <c r="D10" s="317">
        <v>0</v>
      </c>
      <c r="E10" s="316">
        <v>0</v>
      </c>
      <c r="F10" s="317">
        <v>0</v>
      </c>
      <c r="G10" s="361">
        <v>0</v>
      </c>
    </row>
    <row r="11" spans="1:37" s="480" customFormat="1" ht="12.75" customHeight="1">
      <c r="A11" s="591">
        <v>350</v>
      </c>
      <c r="B11" s="587"/>
      <c r="C11" s="585" t="s">
        <v>241</v>
      </c>
      <c r="D11" s="317">
        <v>15068.06086</v>
      </c>
      <c r="E11" s="316">
        <v>2200</v>
      </c>
      <c r="F11" s="317">
        <v>8878.9556499999999</v>
      </c>
      <c r="G11" s="361">
        <v>2600</v>
      </c>
    </row>
    <row r="12" spans="1:37" s="579" customFormat="1">
      <c r="A12" s="597">
        <v>351</v>
      </c>
      <c r="B12" s="596"/>
      <c r="C12" s="589" t="s">
        <v>240</v>
      </c>
      <c r="D12" s="450">
        <v>0</v>
      </c>
      <c r="E12" s="400">
        <v>0</v>
      </c>
      <c r="F12" s="450">
        <v>0</v>
      </c>
      <c r="G12" s="361">
        <v>0</v>
      </c>
    </row>
    <row r="13" spans="1:37" s="480" customFormat="1" ht="12.75" customHeight="1">
      <c r="A13" s="591">
        <v>36</v>
      </c>
      <c r="B13" s="587"/>
      <c r="C13" s="585" t="s">
        <v>239</v>
      </c>
      <c r="D13" s="362">
        <v>1715778.4315800001</v>
      </c>
      <c r="E13" s="316">
        <v>1685659.372</v>
      </c>
      <c r="F13" s="362">
        <v>1720108.8597200001</v>
      </c>
      <c r="G13" s="361">
        <v>1718569.6164500001</v>
      </c>
    </row>
    <row r="14" spans="1:37" s="480" customFormat="1" ht="12.75" customHeight="1">
      <c r="A14" s="629" t="s">
        <v>238</v>
      </c>
      <c r="B14" s="587"/>
      <c r="C14" s="627" t="s">
        <v>237</v>
      </c>
      <c r="D14" s="362">
        <v>289897.92881999997</v>
      </c>
      <c r="E14" s="316">
        <v>363403.48599999998</v>
      </c>
      <c r="F14" s="362">
        <v>312713.17093000002</v>
      </c>
      <c r="G14" s="361">
        <v>302651.77</v>
      </c>
    </row>
    <row r="15" spans="1:37" s="480" customFormat="1" ht="12.75" customHeight="1">
      <c r="A15" s="629" t="s">
        <v>236</v>
      </c>
      <c r="B15" s="587"/>
      <c r="C15" s="627" t="s">
        <v>235</v>
      </c>
      <c r="D15" s="362">
        <v>87128.333029999994</v>
      </c>
      <c r="E15" s="316">
        <v>5463.76</v>
      </c>
      <c r="F15" s="362">
        <v>77885.552500000005</v>
      </c>
      <c r="G15" s="361">
        <v>85147.604999999996</v>
      </c>
    </row>
    <row r="16" spans="1:37" s="626" customFormat="1" ht="26.25" customHeight="1">
      <c r="A16" s="629" t="s">
        <v>234</v>
      </c>
      <c r="B16" s="668"/>
      <c r="C16" s="627" t="s">
        <v>233</v>
      </c>
      <c r="D16" s="444">
        <v>22821.01108</v>
      </c>
      <c r="E16" s="443">
        <v>23156.116000000002</v>
      </c>
      <c r="F16" s="444">
        <v>24966.826440000001</v>
      </c>
      <c r="G16" s="361">
        <v>23518.320449999999</v>
      </c>
    </row>
    <row r="17" spans="1:7" s="622" customFormat="1">
      <c r="A17" s="591">
        <v>37</v>
      </c>
      <c r="B17" s="587"/>
      <c r="C17" s="585" t="s">
        <v>211</v>
      </c>
      <c r="D17" s="362">
        <v>464650.73230999999</v>
      </c>
      <c r="E17" s="430">
        <v>467384.85</v>
      </c>
      <c r="F17" s="362">
        <v>475799.82270000002</v>
      </c>
      <c r="G17" s="361">
        <v>467009.30900000001</v>
      </c>
    </row>
    <row r="18" spans="1:7" s="622" customFormat="1">
      <c r="A18" s="617" t="s">
        <v>232</v>
      </c>
      <c r="B18" s="586"/>
      <c r="C18" s="616" t="s">
        <v>231</v>
      </c>
      <c r="D18" s="362">
        <v>937.62424999999996</v>
      </c>
      <c r="E18" s="430">
        <v>778.5</v>
      </c>
      <c r="F18" s="362">
        <v>12576.01935</v>
      </c>
      <c r="G18" s="361">
        <v>11750</v>
      </c>
    </row>
    <row r="19" spans="1:7" s="622" customFormat="1">
      <c r="A19" s="617" t="s">
        <v>230</v>
      </c>
      <c r="B19" s="586"/>
      <c r="C19" s="616" t="s">
        <v>229</v>
      </c>
      <c r="D19" s="362">
        <v>2556.75846</v>
      </c>
      <c r="E19" s="430">
        <v>2939.2</v>
      </c>
      <c r="F19" s="362">
        <v>2992.3752500000001</v>
      </c>
      <c r="G19" s="361">
        <v>2973.2</v>
      </c>
    </row>
    <row r="20" spans="1:7" s="480" customFormat="1" ht="12.75" customHeight="1">
      <c r="A20" s="615">
        <v>39</v>
      </c>
      <c r="B20" s="614"/>
      <c r="C20" s="583" t="s">
        <v>228</v>
      </c>
      <c r="D20" s="355">
        <v>434725.15944999998</v>
      </c>
      <c r="E20" s="372">
        <v>422421.40700000001</v>
      </c>
      <c r="F20" s="355">
        <v>435222.33744999999</v>
      </c>
      <c r="G20" s="354">
        <v>377628.11705</v>
      </c>
    </row>
    <row r="21" spans="1:7" ht="12.75" customHeight="1">
      <c r="A21" s="578"/>
      <c r="B21" s="578"/>
      <c r="C21" s="576" t="s">
        <v>227</v>
      </c>
      <c r="D21" s="380">
        <f>D4+D5+SUM(D8:D13)+D17</f>
        <v>3162482.3295799997</v>
      </c>
      <c r="E21" s="380">
        <f>E4+E5+SUM(E8:E13)+E17</f>
        <v>3145752.6463799998</v>
      </c>
      <c r="F21" s="380">
        <f>F4+F5+SUM(F8:F13)+F17</f>
        <v>3161532.4438200002</v>
      </c>
      <c r="G21" s="380">
        <f>G4+G5+SUM(G8:G13)+G17</f>
        <v>3167096.8867299999</v>
      </c>
    </row>
    <row r="22" spans="1:7" s="480" customFormat="1" ht="12.75" customHeight="1">
      <c r="A22" s="593" t="s">
        <v>226</v>
      </c>
      <c r="B22" s="587"/>
      <c r="C22" s="585" t="s">
        <v>225</v>
      </c>
      <c r="D22" s="317">
        <v>903845.01940999995</v>
      </c>
      <c r="E22" s="316">
        <v>954274.40067</v>
      </c>
      <c r="F22" s="317">
        <v>952399.26052999997</v>
      </c>
      <c r="G22" s="316">
        <f>863321.071+113096.425</f>
        <v>976417.49600000004</v>
      </c>
    </row>
    <row r="23" spans="1:7" s="480" customFormat="1" ht="12.75" customHeight="1">
      <c r="A23" s="593" t="s">
        <v>224</v>
      </c>
      <c r="B23" s="587"/>
      <c r="C23" s="585" t="s">
        <v>223</v>
      </c>
      <c r="D23" s="317">
        <v>203732.37515000001</v>
      </c>
      <c r="E23" s="316">
        <v>204660</v>
      </c>
      <c r="F23" s="317">
        <v>213292.37335000001</v>
      </c>
      <c r="G23" s="316">
        <f>88100+98980</f>
        <v>187080</v>
      </c>
    </row>
    <row r="24" spans="1:7" s="621" customFormat="1" ht="12.75" customHeight="1">
      <c r="A24" s="591">
        <v>41</v>
      </c>
      <c r="B24" s="587"/>
      <c r="C24" s="585" t="s">
        <v>222</v>
      </c>
      <c r="D24" s="317">
        <v>59048.134100000003</v>
      </c>
      <c r="E24" s="316">
        <v>55241</v>
      </c>
      <c r="F24" s="317">
        <v>28702.9215</v>
      </c>
      <c r="G24" s="316">
        <v>22824</v>
      </c>
    </row>
    <row r="25" spans="1:7" s="480" customFormat="1" ht="12.75" customHeight="1">
      <c r="A25" s="620">
        <v>42</v>
      </c>
      <c r="B25" s="619"/>
      <c r="C25" s="585" t="s">
        <v>221</v>
      </c>
      <c r="D25" s="317">
        <v>203958.65096</v>
      </c>
      <c r="E25" s="316">
        <v>204948.87</v>
      </c>
      <c r="F25" s="317">
        <v>205868.44239000001</v>
      </c>
      <c r="G25" s="316">
        <v>206953.78021999999</v>
      </c>
    </row>
    <row r="26" spans="1:7" s="618" customFormat="1" ht="12.75" customHeight="1">
      <c r="A26" s="597">
        <v>430</v>
      </c>
      <c r="B26" s="587"/>
      <c r="C26" s="585" t="s">
        <v>220</v>
      </c>
      <c r="D26" s="431">
        <v>264.81774999999999</v>
      </c>
      <c r="E26" s="430">
        <v>253.2</v>
      </c>
      <c r="F26" s="431">
        <v>313.09895</v>
      </c>
      <c r="G26" s="430">
        <v>254</v>
      </c>
    </row>
    <row r="27" spans="1:7" s="618" customFormat="1" ht="12.75" customHeight="1">
      <c r="A27" s="597">
        <v>431</v>
      </c>
      <c r="B27" s="587"/>
      <c r="C27" s="585" t="s">
        <v>219</v>
      </c>
      <c r="D27" s="431">
        <v>873.18949999999995</v>
      </c>
      <c r="E27" s="430">
        <v>10</v>
      </c>
      <c r="F27" s="431">
        <v>1049.77595</v>
      </c>
      <c r="G27" s="430">
        <v>810</v>
      </c>
    </row>
    <row r="28" spans="1:7" s="618" customFormat="1" ht="12.75" customHeight="1">
      <c r="A28" s="597">
        <v>432</v>
      </c>
      <c r="B28" s="587"/>
      <c r="C28" s="585" t="s">
        <v>218</v>
      </c>
      <c r="D28" s="431">
        <v>0</v>
      </c>
      <c r="E28" s="430">
        <v>0</v>
      </c>
      <c r="F28" s="431">
        <v>0</v>
      </c>
      <c r="G28" s="430">
        <v>0</v>
      </c>
    </row>
    <row r="29" spans="1:7" s="618" customFormat="1" ht="12.75" customHeight="1">
      <c r="A29" s="597">
        <v>439</v>
      </c>
      <c r="B29" s="587"/>
      <c r="C29" s="585" t="s">
        <v>217</v>
      </c>
      <c r="D29" s="431">
        <v>0</v>
      </c>
      <c r="E29" s="430">
        <v>0</v>
      </c>
      <c r="F29" s="431">
        <v>0</v>
      </c>
      <c r="G29" s="430">
        <v>0</v>
      </c>
    </row>
    <row r="30" spans="1:7" s="480" customFormat="1" ht="25.5">
      <c r="A30" s="597">
        <v>450</v>
      </c>
      <c r="B30" s="596"/>
      <c r="C30" s="589" t="s">
        <v>216</v>
      </c>
      <c r="D30" s="362">
        <v>13523.992130000001</v>
      </c>
      <c r="E30" s="361">
        <v>914.3</v>
      </c>
      <c r="F30" s="362">
        <v>9861.43246</v>
      </c>
      <c r="G30" s="361">
        <v>1628.9</v>
      </c>
    </row>
    <row r="31" spans="1:7" s="579" customFormat="1" ht="25.5">
      <c r="A31" s="597">
        <v>451</v>
      </c>
      <c r="B31" s="596"/>
      <c r="C31" s="589" t="s">
        <v>215</v>
      </c>
      <c r="D31" s="311">
        <v>0</v>
      </c>
      <c r="E31" s="316">
        <v>0</v>
      </c>
      <c r="F31" s="311">
        <v>0</v>
      </c>
      <c r="G31" s="316">
        <v>0</v>
      </c>
    </row>
    <row r="32" spans="1:7" s="480" customFormat="1" ht="12.75" customHeight="1">
      <c r="A32" s="591">
        <v>46</v>
      </c>
      <c r="B32" s="587"/>
      <c r="C32" s="585" t="s">
        <v>214</v>
      </c>
      <c r="D32" s="317">
        <v>1221854.1309700001</v>
      </c>
      <c r="E32" s="316">
        <v>1187590.4222200001</v>
      </c>
      <c r="F32" s="317">
        <v>1212650.1200999999</v>
      </c>
      <c r="G32" s="316">
        <v>1185603.0780100001</v>
      </c>
    </row>
    <row r="33" spans="1:7" s="579" customFormat="1" ht="12.75" customHeight="1">
      <c r="A33" s="617" t="s">
        <v>213</v>
      </c>
      <c r="B33" s="586"/>
      <c r="C33" s="616" t="s">
        <v>212</v>
      </c>
      <c r="D33" s="317">
        <v>15578.53606</v>
      </c>
      <c r="E33" s="321">
        <v>16303.155000000001</v>
      </c>
      <c r="F33" s="317">
        <v>16297.111070000001</v>
      </c>
      <c r="G33" s="321">
        <v>17113.462</v>
      </c>
    </row>
    <row r="34" spans="1:7" s="480" customFormat="1" ht="15" customHeight="1">
      <c r="A34" s="591">
        <v>47</v>
      </c>
      <c r="B34" s="587"/>
      <c r="C34" s="585" t="s">
        <v>211</v>
      </c>
      <c r="D34" s="317">
        <v>464650.73230999999</v>
      </c>
      <c r="E34" s="316">
        <v>467384.85</v>
      </c>
      <c r="F34" s="317">
        <v>475799.82270000002</v>
      </c>
      <c r="G34" s="316">
        <v>467009.30900000001</v>
      </c>
    </row>
    <row r="35" spans="1:7" s="480" customFormat="1" ht="15" customHeight="1">
      <c r="A35" s="615">
        <v>49</v>
      </c>
      <c r="B35" s="614"/>
      <c r="C35" s="583" t="s">
        <v>210</v>
      </c>
      <c r="D35" s="355">
        <v>434725.15944999998</v>
      </c>
      <c r="E35" s="354">
        <v>422421.40700000001</v>
      </c>
      <c r="F35" s="355">
        <v>435222.33744999999</v>
      </c>
      <c r="G35" s="354">
        <v>377628.11705</v>
      </c>
    </row>
    <row r="36" spans="1:7" ht="13.5" customHeight="1">
      <c r="A36" s="578"/>
      <c r="B36" s="606"/>
      <c r="C36" s="576" t="s">
        <v>209</v>
      </c>
      <c r="D36" s="380">
        <f>D22+D23+D24+D25+D26+D27+D28+D29+D30+D31+D32+D34</f>
        <v>3071751.0422799997</v>
      </c>
      <c r="E36" s="380">
        <f>E22+E23+E24+E25+E26+E27+E28+E29+E30+E31+E32+E34</f>
        <v>3075277.0428900002</v>
      </c>
      <c r="F36" s="380">
        <f>F22+F23+F24+F25+F26+F27+F28+F29+F30+F31+F32+F34</f>
        <v>3099937.2479300001</v>
      </c>
      <c r="G36" s="380">
        <f>G22+G23+G24+G25+G26+G27+G28+G29+G30+G31+G32+G34</f>
        <v>3048580.56323</v>
      </c>
    </row>
    <row r="37" spans="1:7" s="667" customFormat="1" ht="15" customHeight="1">
      <c r="A37" s="578"/>
      <c r="B37" s="606"/>
      <c r="C37" s="576" t="s">
        <v>208</v>
      </c>
      <c r="D37" s="380">
        <f>D36-D21</f>
        <v>-90731.287299999967</v>
      </c>
      <c r="E37" s="380">
        <f>E36-E21</f>
        <v>-70475.603489999659</v>
      </c>
      <c r="F37" s="380">
        <f>F36-F21</f>
        <v>-61595.19589000009</v>
      </c>
      <c r="G37" s="380">
        <f>G36-G21</f>
        <v>-118516.32349999994</v>
      </c>
    </row>
    <row r="38" spans="1:7" s="579" customFormat="1" ht="15" customHeight="1">
      <c r="A38" s="593">
        <v>340</v>
      </c>
      <c r="B38" s="587"/>
      <c r="C38" s="585" t="s">
        <v>207</v>
      </c>
      <c r="D38" s="362">
        <v>28101.368740000002</v>
      </c>
      <c r="E38" s="316">
        <v>27639.328000000001</v>
      </c>
      <c r="F38" s="362">
        <v>25141.455430000002</v>
      </c>
      <c r="G38" s="316">
        <v>25153.903999999999</v>
      </c>
    </row>
    <row r="39" spans="1:7" s="579" customFormat="1" ht="15" customHeight="1">
      <c r="A39" s="593">
        <v>341</v>
      </c>
      <c r="B39" s="587"/>
      <c r="C39" s="585" t="s">
        <v>206</v>
      </c>
      <c r="D39" s="317">
        <v>9.2700000000000005E-3</v>
      </c>
      <c r="E39" s="316">
        <v>0</v>
      </c>
      <c r="F39" s="317">
        <v>45.261249999999997</v>
      </c>
      <c r="G39" s="316">
        <v>0</v>
      </c>
    </row>
    <row r="40" spans="1:7" s="579" customFormat="1" ht="15" customHeight="1">
      <c r="A40" s="593">
        <v>342</v>
      </c>
      <c r="B40" s="587"/>
      <c r="C40" s="585" t="s">
        <v>205</v>
      </c>
      <c r="D40" s="317">
        <v>466.39798999999999</v>
      </c>
      <c r="E40" s="316">
        <v>365</v>
      </c>
      <c r="F40" s="317">
        <v>323.73557</v>
      </c>
      <c r="G40" s="316">
        <v>715</v>
      </c>
    </row>
    <row r="41" spans="1:7" s="579" customFormat="1" ht="15" customHeight="1">
      <c r="A41" s="593">
        <v>343</v>
      </c>
      <c r="B41" s="587"/>
      <c r="C41" s="585" t="s">
        <v>204</v>
      </c>
      <c r="D41" s="317">
        <v>530.00215000000003</v>
      </c>
      <c r="E41" s="316">
        <v>1959</v>
      </c>
      <c r="F41" s="317">
        <v>1458.8205700000001</v>
      </c>
      <c r="G41" s="316">
        <v>691</v>
      </c>
    </row>
    <row r="42" spans="1:7" s="579" customFormat="1" ht="15" customHeight="1">
      <c r="A42" s="593">
        <v>344</v>
      </c>
      <c r="B42" s="587"/>
      <c r="C42" s="585" t="s">
        <v>198</v>
      </c>
      <c r="D42" s="317">
        <v>42.861600000000003</v>
      </c>
      <c r="E42" s="316">
        <v>0</v>
      </c>
      <c r="F42" s="317">
        <v>7096.3559999999998</v>
      </c>
      <c r="G42" s="316">
        <v>0</v>
      </c>
    </row>
    <row r="43" spans="1:7" s="579" customFormat="1" ht="15" customHeight="1">
      <c r="A43" s="593">
        <v>349</v>
      </c>
      <c r="B43" s="587"/>
      <c r="C43" s="585" t="s">
        <v>203</v>
      </c>
      <c r="D43" s="317">
        <v>5337.4455200000002</v>
      </c>
      <c r="E43" s="316">
        <v>5565.1</v>
      </c>
      <c r="F43" s="317">
        <v>3835.2984299999998</v>
      </c>
      <c r="G43" s="316">
        <v>3608.165</v>
      </c>
    </row>
    <row r="44" spans="1:7" s="480" customFormat="1" ht="15" customHeight="1">
      <c r="A44" s="591">
        <v>440</v>
      </c>
      <c r="B44" s="587"/>
      <c r="C44" s="585" t="s">
        <v>202</v>
      </c>
      <c r="D44" s="362">
        <v>3851.54099</v>
      </c>
      <c r="E44" s="316">
        <v>4787.21</v>
      </c>
      <c r="F44" s="362">
        <v>3085.2006799999999</v>
      </c>
      <c r="G44" s="316">
        <v>3624.72</v>
      </c>
    </row>
    <row r="45" spans="1:7" s="480" customFormat="1" ht="15" customHeight="1">
      <c r="A45" s="591">
        <v>441</v>
      </c>
      <c r="B45" s="587"/>
      <c r="C45" s="585" t="s">
        <v>201</v>
      </c>
      <c r="D45" s="362">
        <v>5050.8873599999997</v>
      </c>
      <c r="E45" s="316">
        <v>0</v>
      </c>
      <c r="F45" s="362">
        <v>1151.7992099999999</v>
      </c>
      <c r="G45" s="316">
        <v>0</v>
      </c>
    </row>
    <row r="46" spans="1:7" s="480" customFormat="1" ht="15" customHeight="1">
      <c r="A46" s="591">
        <v>442</v>
      </c>
      <c r="B46" s="587"/>
      <c r="C46" s="585" t="s">
        <v>200</v>
      </c>
      <c r="D46" s="362">
        <v>12679.4905</v>
      </c>
      <c r="E46" s="316">
        <v>12589</v>
      </c>
      <c r="F46" s="362">
        <v>12679.496999999999</v>
      </c>
      <c r="G46" s="316">
        <v>12589</v>
      </c>
    </row>
    <row r="47" spans="1:7" s="480" customFormat="1" ht="15" customHeight="1">
      <c r="A47" s="591">
        <v>443</v>
      </c>
      <c r="B47" s="587"/>
      <c r="C47" s="585" t="s">
        <v>199</v>
      </c>
      <c r="D47" s="362">
        <v>4110.4115499999998</v>
      </c>
      <c r="E47" s="316">
        <v>9750</v>
      </c>
      <c r="F47" s="362">
        <v>2059.2991999999999</v>
      </c>
      <c r="G47" s="316">
        <v>3610</v>
      </c>
    </row>
    <row r="48" spans="1:7" s="480" customFormat="1" ht="15" customHeight="1">
      <c r="A48" s="591">
        <v>444</v>
      </c>
      <c r="B48" s="587"/>
      <c r="C48" s="585" t="s">
        <v>198</v>
      </c>
      <c r="D48" s="362">
        <v>9093.9130000000005</v>
      </c>
      <c r="E48" s="316">
        <v>0</v>
      </c>
      <c r="F48" s="362">
        <v>0</v>
      </c>
      <c r="G48" s="316">
        <v>0</v>
      </c>
    </row>
    <row r="49" spans="1:7" s="480" customFormat="1" ht="15" customHeight="1">
      <c r="A49" s="591">
        <v>445</v>
      </c>
      <c r="B49" s="587"/>
      <c r="C49" s="585" t="s">
        <v>197</v>
      </c>
      <c r="D49" s="362">
        <v>68792.486820000006</v>
      </c>
      <c r="E49" s="316">
        <v>70378.838000000003</v>
      </c>
      <c r="F49" s="362">
        <v>70332.210359999997</v>
      </c>
      <c r="G49" s="316">
        <v>78407.721999999994</v>
      </c>
    </row>
    <row r="50" spans="1:7" s="480" customFormat="1" ht="15" customHeight="1">
      <c r="A50" s="591">
        <v>446</v>
      </c>
      <c r="B50" s="587"/>
      <c r="C50" s="585" t="s">
        <v>196</v>
      </c>
      <c r="D50" s="362">
        <v>4099.5200000000004</v>
      </c>
      <c r="E50" s="316">
        <v>26.5</v>
      </c>
      <c r="F50" s="362">
        <v>243</v>
      </c>
      <c r="G50" s="316">
        <v>4000</v>
      </c>
    </row>
    <row r="51" spans="1:7" s="480" customFormat="1" ht="15" customHeight="1">
      <c r="A51" s="591">
        <v>447</v>
      </c>
      <c r="B51" s="587"/>
      <c r="C51" s="585" t="s">
        <v>195</v>
      </c>
      <c r="D51" s="362">
        <v>22660.92813</v>
      </c>
      <c r="E51" s="316">
        <v>16444.240000000002</v>
      </c>
      <c r="F51" s="362">
        <v>20751.47135</v>
      </c>
      <c r="G51" s="316">
        <v>22197.59</v>
      </c>
    </row>
    <row r="52" spans="1:7" s="480" customFormat="1" ht="15" customHeight="1">
      <c r="A52" s="591">
        <v>448</v>
      </c>
      <c r="B52" s="587"/>
      <c r="C52" s="585" t="s">
        <v>194</v>
      </c>
      <c r="D52" s="362">
        <v>0</v>
      </c>
      <c r="E52" s="316">
        <v>0</v>
      </c>
      <c r="F52" s="362">
        <v>1943.2417</v>
      </c>
      <c r="G52" s="316">
        <v>0</v>
      </c>
    </row>
    <row r="53" spans="1:7" s="480" customFormat="1" ht="15" customHeight="1">
      <c r="A53" s="591">
        <v>449</v>
      </c>
      <c r="B53" s="587"/>
      <c r="C53" s="585" t="s">
        <v>193</v>
      </c>
      <c r="D53" s="362">
        <v>57.45</v>
      </c>
      <c r="E53" s="316">
        <v>0</v>
      </c>
      <c r="F53" s="362">
        <v>19.283280000000001</v>
      </c>
      <c r="G53" s="316">
        <v>0</v>
      </c>
    </row>
    <row r="54" spans="1:7" s="579" customFormat="1" ht="13.5" customHeight="1">
      <c r="A54" s="607" t="s">
        <v>192</v>
      </c>
      <c r="B54" s="580"/>
      <c r="C54" s="580" t="s">
        <v>191</v>
      </c>
      <c r="D54" s="418">
        <v>57.45</v>
      </c>
      <c r="E54" s="299">
        <v>0</v>
      </c>
      <c r="F54" s="418">
        <v>19.283280000000001</v>
      </c>
      <c r="G54" s="299">
        <v>0</v>
      </c>
    </row>
    <row r="55" spans="1:7" ht="15" customHeight="1">
      <c r="A55" s="606"/>
      <c r="B55" s="606"/>
      <c r="C55" s="576" t="s">
        <v>55</v>
      </c>
      <c r="D55" s="380">
        <f>SUM(D44:D53)-SUM(D38:D43)</f>
        <v>95918.543080000003</v>
      </c>
      <c r="E55" s="380">
        <f>SUM(E44:E53)-SUM(E38:E43)</f>
        <v>78447.360000000015</v>
      </c>
      <c r="F55" s="380">
        <f>SUM(F44:F53)-SUM(F38:F43)</f>
        <v>74364.075530000002</v>
      </c>
      <c r="G55" s="380">
        <f>SUM(G44:G53)-SUM(G38:G43)</f>
        <v>94260.962999999989</v>
      </c>
    </row>
    <row r="56" spans="1:7" ht="14.25" customHeight="1">
      <c r="A56" s="606"/>
      <c r="B56" s="606"/>
      <c r="C56" s="576" t="s">
        <v>190</v>
      </c>
      <c r="D56" s="380">
        <f>D55+D37</f>
        <v>5187.2557800000359</v>
      </c>
      <c r="E56" s="380">
        <f>E55+E37</f>
        <v>7971.7565100003558</v>
      </c>
      <c r="F56" s="380">
        <f>F55+F37</f>
        <v>12768.879639999912</v>
      </c>
      <c r="G56" s="380">
        <f>G55+G37</f>
        <v>-24255.360499999952</v>
      </c>
    </row>
    <row r="57" spans="1:7" s="480" customFormat="1" ht="15.75" customHeight="1">
      <c r="A57" s="605">
        <v>380</v>
      </c>
      <c r="B57" s="604"/>
      <c r="C57" s="603" t="s">
        <v>189</v>
      </c>
      <c r="D57" s="602">
        <v>0</v>
      </c>
      <c r="E57" s="601">
        <v>0</v>
      </c>
      <c r="F57" s="601">
        <v>0</v>
      </c>
      <c r="G57" s="601">
        <v>0</v>
      </c>
    </row>
    <row r="58" spans="1:7" s="480" customFormat="1" ht="15.75" customHeight="1">
      <c r="A58" s="605">
        <v>381</v>
      </c>
      <c r="B58" s="604"/>
      <c r="C58" s="603" t="s">
        <v>188</v>
      </c>
      <c r="D58" s="602">
        <v>0</v>
      </c>
      <c r="E58" s="601">
        <v>0</v>
      </c>
      <c r="F58" s="601">
        <v>0</v>
      </c>
      <c r="G58" s="601">
        <v>0</v>
      </c>
    </row>
    <row r="59" spans="1:7" s="579" customFormat="1" ht="25.5">
      <c r="A59" s="597">
        <v>383</v>
      </c>
      <c r="B59" s="596"/>
      <c r="C59" s="589" t="s">
        <v>187</v>
      </c>
      <c r="D59" s="409">
        <v>0</v>
      </c>
      <c r="E59" s="342">
        <v>0</v>
      </c>
      <c r="F59" s="342">
        <v>0</v>
      </c>
      <c r="G59" s="342">
        <v>0</v>
      </c>
    </row>
    <row r="60" spans="1:7" s="579" customFormat="1">
      <c r="A60" s="597">
        <v>3840</v>
      </c>
      <c r="B60" s="596"/>
      <c r="C60" s="589" t="s">
        <v>186</v>
      </c>
      <c r="D60" s="401">
        <v>0</v>
      </c>
      <c r="E60" s="400">
        <v>0</v>
      </c>
      <c r="F60" s="400">
        <v>0</v>
      </c>
      <c r="G60" s="400">
        <v>0</v>
      </c>
    </row>
    <row r="61" spans="1:7" s="579" customFormat="1">
      <c r="A61" s="597">
        <v>3841</v>
      </c>
      <c r="B61" s="596"/>
      <c r="C61" s="589" t="s">
        <v>185</v>
      </c>
      <c r="D61" s="401">
        <v>0</v>
      </c>
      <c r="E61" s="400">
        <v>0</v>
      </c>
      <c r="F61" s="400">
        <v>0</v>
      </c>
      <c r="G61" s="400">
        <v>0</v>
      </c>
    </row>
    <row r="62" spans="1:7" s="579" customFormat="1">
      <c r="A62" s="600">
        <v>386</v>
      </c>
      <c r="B62" s="599"/>
      <c r="C62" s="598" t="s">
        <v>184</v>
      </c>
      <c r="D62" s="401">
        <v>0</v>
      </c>
      <c r="E62" s="400">
        <v>0</v>
      </c>
      <c r="F62" s="400">
        <v>0</v>
      </c>
      <c r="G62" s="400">
        <v>0</v>
      </c>
    </row>
    <row r="63" spans="1:7" s="579" customFormat="1" ht="25.5">
      <c r="A63" s="597">
        <v>387</v>
      </c>
      <c r="B63" s="596"/>
      <c r="C63" s="589" t="s">
        <v>183</v>
      </c>
      <c r="D63" s="401">
        <v>0</v>
      </c>
      <c r="E63" s="400">
        <v>0</v>
      </c>
      <c r="F63" s="400">
        <v>0</v>
      </c>
      <c r="G63" s="400">
        <v>0</v>
      </c>
    </row>
    <row r="64" spans="1:7" s="579" customFormat="1">
      <c r="A64" s="617">
        <v>389</v>
      </c>
      <c r="B64" s="733"/>
      <c r="C64" s="616" t="s">
        <v>182</v>
      </c>
      <c r="D64" s="322">
        <v>0</v>
      </c>
      <c r="E64" s="321">
        <v>0</v>
      </c>
      <c r="F64" s="321">
        <v>0</v>
      </c>
      <c r="G64" s="321">
        <v>0</v>
      </c>
    </row>
    <row r="65" spans="1:7" s="480" customFormat="1">
      <c r="A65" s="593" t="s">
        <v>181</v>
      </c>
      <c r="B65" s="587"/>
      <c r="C65" s="585" t="s">
        <v>180</v>
      </c>
      <c r="D65" s="317">
        <v>0</v>
      </c>
      <c r="E65" s="316">
        <v>0</v>
      </c>
      <c r="F65" s="316">
        <v>0</v>
      </c>
      <c r="G65" s="316">
        <v>0</v>
      </c>
    </row>
    <row r="66" spans="1:7" s="588" customFormat="1">
      <c r="A66" s="666" t="s">
        <v>179</v>
      </c>
      <c r="B66" s="590"/>
      <c r="C66" s="589" t="s">
        <v>178</v>
      </c>
      <c r="D66" s="343">
        <v>0</v>
      </c>
      <c r="E66" s="342">
        <v>0</v>
      </c>
      <c r="F66" s="342">
        <v>0</v>
      </c>
      <c r="G66" s="342">
        <v>0</v>
      </c>
    </row>
    <row r="67" spans="1:7" s="480" customFormat="1">
      <c r="A67" s="584">
        <v>481</v>
      </c>
      <c r="B67" s="587"/>
      <c r="C67" s="585" t="s">
        <v>177</v>
      </c>
      <c r="D67" s="317">
        <v>0</v>
      </c>
      <c r="E67" s="316">
        <v>0</v>
      </c>
      <c r="F67" s="316">
        <v>0</v>
      </c>
      <c r="G67" s="316">
        <v>0</v>
      </c>
    </row>
    <row r="68" spans="1:7" s="480" customFormat="1">
      <c r="A68" s="584">
        <v>482</v>
      </c>
      <c r="B68" s="587"/>
      <c r="C68" s="585" t="s">
        <v>176</v>
      </c>
      <c r="D68" s="317">
        <v>0</v>
      </c>
      <c r="E68" s="316">
        <v>0</v>
      </c>
      <c r="F68" s="316">
        <v>0</v>
      </c>
      <c r="G68" s="316">
        <v>0</v>
      </c>
    </row>
    <row r="69" spans="1:7" s="480" customFormat="1">
      <c r="A69" s="584">
        <v>483</v>
      </c>
      <c r="B69" s="587"/>
      <c r="C69" s="585" t="s">
        <v>175</v>
      </c>
      <c r="D69" s="317">
        <v>0</v>
      </c>
      <c r="E69" s="316">
        <v>0</v>
      </c>
      <c r="F69" s="316">
        <v>0</v>
      </c>
      <c r="G69" s="316">
        <v>0</v>
      </c>
    </row>
    <row r="70" spans="1:7" s="480" customFormat="1">
      <c r="A70" s="584">
        <v>484</v>
      </c>
      <c r="B70" s="587"/>
      <c r="C70" s="585" t="s">
        <v>174</v>
      </c>
      <c r="D70" s="317">
        <v>0</v>
      </c>
      <c r="E70" s="316">
        <v>0</v>
      </c>
      <c r="F70" s="316">
        <v>0</v>
      </c>
      <c r="G70" s="316">
        <v>0</v>
      </c>
    </row>
    <row r="71" spans="1:7" s="480" customFormat="1">
      <c r="A71" s="584">
        <v>485</v>
      </c>
      <c r="B71" s="587"/>
      <c r="C71" s="585" t="s">
        <v>173</v>
      </c>
      <c r="D71" s="317">
        <v>0</v>
      </c>
      <c r="E71" s="316">
        <v>0</v>
      </c>
      <c r="F71" s="316">
        <v>0</v>
      </c>
      <c r="G71" s="316">
        <v>0</v>
      </c>
    </row>
    <row r="72" spans="1:7" s="480" customFormat="1">
      <c r="A72" s="584">
        <v>486</v>
      </c>
      <c r="B72" s="587"/>
      <c r="C72" s="585" t="s">
        <v>172</v>
      </c>
      <c r="D72" s="317">
        <v>0</v>
      </c>
      <c r="E72" s="316">
        <v>0</v>
      </c>
      <c r="F72" s="316">
        <v>0</v>
      </c>
      <c r="G72" s="316">
        <v>0</v>
      </c>
    </row>
    <row r="73" spans="1:7" s="579" customFormat="1">
      <c r="A73" s="584">
        <v>487</v>
      </c>
      <c r="B73" s="586"/>
      <c r="C73" s="585" t="s">
        <v>171</v>
      </c>
      <c r="D73" s="362">
        <v>0</v>
      </c>
      <c r="E73" s="316">
        <v>0</v>
      </c>
      <c r="F73" s="316">
        <v>0</v>
      </c>
      <c r="G73" s="316">
        <v>0</v>
      </c>
    </row>
    <row r="74" spans="1:7" s="579" customFormat="1">
      <c r="A74" s="584">
        <v>489</v>
      </c>
      <c r="B74" s="581"/>
      <c r="C74" s="583" t="s">
        <v>170</v>
      </c>
      <c r="D74" s="362">
        <v>0</v>
      </c>
      <c r="E74" s="316">
        <v>0</v>
      </c>
      <c r="F74" s="316">
        <v>0</v>
      </c>
      <c r="G74" s="316">
        <v>0</v>
      </c>
    </row>
    <row r="75" spans="1:7" s="579" customFormat="1">
      <c r="A75" s="582" t="s">
        <v>169</v>
      </c>
      <c r="B75" s="581"/>
      <c r="C75" s="583" t="s">
        <v>168</v>
      </c>
      <c r="D75" s="317">
        <v>0</v>
      </c>
      <c r="E75" s="316">
        <v>0</v>
      </c>
      <c r="F75" s="316">
        <v>0</v>
      </c>
      <c r="G75" s="316">
        <v>0</v>
      </c>
    </row>
    <row r="76" spans="1:7">
      <c r="A76" s="578"/>
      <c r="B76" s="578"/>
      <c r="C76" s="576" t="s">
        <v>167</v>
      </c>
      <c r="D76" s="380">
        <f>SUM(D65:D74)-SUM(D57:D64)</f>
        <v>0</v>
      </c>
      <c r="E76" s="380">
        <f>SUM(E65:E74)-SUM(E57:E64)</f>
        <v>0</v>
      </c>
      <c r="F76" s="380">
        <f>SUM(F65:F74)-SUM(F57:F64)</f>
        <v>0</v>
      </c>
      <c r="G76" s="380">
        <f>SUM(G65:G74)-SUM(G57:G64)</f>
        <v>0</v>
      </c>
    </row>
    <row r="77" spans="1:7">
      <c r="A77" s="577"/>
      <c r="B77" s="577"/>
      <c r="C77" s="576" t="s">
        <v>166</v>
      </c>
      <c r="D77" s="380">
        <f>D56+D76</f>
        <v>5187.2557800000359</v>
      </c>
      <c r="E77" s="380">
        <f>E56+E76</f>
        <v>7971.7565100003558</v>
      </c>
      <c r="F77" s="380">
        <f>F56+F76</f>
        <v>12768.879639999912</v>
      </c>
      <c r="G77" s="380">
        <f>G56+G76</f>
        <v>-24255.360499999952</v>
      </c>
    </row>
    <row r="78" spans="1:7">
      <c r="A78" s="575">
        <v>3</v>
      </c>
      <c r="B78" s="575"/>
      <c r="C78" s="574" t="s">
        <v>165</v>
      </c>
      <c r="D78" s="377">
        <f>D20+D21+SUM(D38:D43)+SUM(D57:D64)</f>
        <v>3631685.5743</v>
      </c>
      <c r="E78" s="377">
        <f>E20+E21+SUM(E38:E43)+SUM(E57:E64)</f>
        <v>3603702.4813799998</v>
      </c>
      <c r="F78" s="377">
        <f>F20+F21+SUM(F38:F43)+SUM(F57:F64)</f>
        <v>3634655.7085200003</v>
      </c>
      <c r="G78" s="377">
        <f>G20+G21+SUM(G38:G43)+SUM(G57:G64)</f>
        <v>3574893.07278</v>
      </c>
    </row>
    <row r="79" spans="1:7">
      <c r="A79" s="575">
        <v>4</v>
      </c>
      <c r="B79" s="575"/>
      <c r="C79" s="574" t="s">
        <v>164</v>
      </c>
      <c r="D79" s="377">
        <f>D35+D36+SUM(D44:D53)+SUM(D65:D74)</f>
        <v>3636872.8300799998</v>
      </c>
      <c r="E79" s="377">
        <f>E35+E36+SUM(E44:E53)+SUM(E65:E74)</f>
        <v>3611674.2378900005</v>
      </c>
      <c r="F79" s="377">
        <f>F35+F36+SUM(F44:F53)+SUM(F65:F74)</f>
        <v>3647424.5881600003</v>
      </c>
      <c r="G79" s="377">
        <f>G35+G36+SUM(G44:G53)+SUM(G65:G74)</f>
        <v>3550637.7122800001</v>
      </c>
    </row>
    <row r="80" spans="1:7">
      <c r="A80" s="534"/>
      <c r="B80" s="534"/>
      <c r="C80" s="533"/>
      <c r="D80" s="260"/>
      <c r="E80" s="260"/>
      <c r="F80" s="260"/>
      <c r="G80" s="260"/>
    </row>
    <row r="81" spans="1:7">
      <c r="A81" s="951" t="s">
        <v>163</v>
      </c>
      <c r="B81" s="952"/>
      <c r="C81" s="952"/>
      <c r="D81" s="375"/>
      <c r="E81" s="376"/>
      <c r="F81" s="375"/>
      <c r="G81" s="376"/>
    </row>
    <row r="82" spans="1:7" s="480" customFormat="1">
      <c r="A82" s="567">
        <v>50</v>
      </c>
      <c r="B82" s="565"/>
      <c r="C82" s="565" t="s">
        <v>162</v>
      </c>
      <c r="D82" s="317">
        <v>122014.36590999999</v>
      </c>
      <c r="E82" s="316">
        <v>145380.00099999999</v>
      </c>
      <c r="F82" s="316">
        <v>123517.31783</v>
      </c>
      <c r="G82" s="316">
        <v>143859.40700000001</v>
      </c>
    </row>
    <row r="83" spans="1:7" s="480" customFormat="1">
      <c r="A83" s="567">
        <v>51</v>
      </c>
      <c r="B83" s="565"/>
      <c r="C83" s="565" t="s">
        <v>161</v>
      </c>
      <c r="D83" s="317">
        <v>17580.711899999998</v>
      </c>
      <c r="E83" s="316">
        <v>3400</v>
      </c>
      <c r="F83" s="316">
        <v>4217.8256300000003</v>
      </c>
      <c r="G83" s="316">
        <v>1300</v>
      </c>
    </row>
    <row r="84" spans="1:7" s="480" customFormat="1">
      <c r="A84" s="567">
        <v>52</v>
      </c>
      <c r="B84" s="565"/>
      <c r="C84" s="565" t="s">
        <v>160</v>
      </c>
      <c r="D84" s="317">
        <v>7638.4331499999998</v>
      </c>
      <c r="E84" s="316">
        <v>7628.6130000000003</v>
      </c>
      <c r="F84" s="316">
        <v>4994.8887299999997</v>
      </c>
      <c r="G84" s="316">
        <v>7192.18</v>
      </c>
    </row>
    <row r="85" spans="1:7" s="480" customFormat="1">
      <c r="A85" s="571">
        <v>54</v>
      </c>
      <c r="B85" s="570"/>
      <c r="C85" s="570" t="s">
        <v>117</v>
      </c>
      <c r="D85" s="317">
        <v>1705.9818499999999</v>
      </c>
      <c r="E85" s="316">
        <v>4200</v>
      </c>
      <c r="F85" s="316">
        <v>2339.4050000000002</v>
      </c>
      <c r="G85" s="316">
        <v>2430</v>
      </c>
    </row>
    <row r="86" spans="1:7" s="480" customFormat="1">
      <c r="A86" s="571">
        <v>55</v>
      </c>
      <c r="B86" s="570"/>
      <c r="C86" s="570" t="s">
        <v>159</v>
      </c>
      <c r="D86" s="317">
        <v>1E-4</v>
      </c>
      <c r="E86" s="316">
        <v>50</v>
      </c>
      <c r="F86" s="316">
        <v>100</v>
      </c>
      <c r="G86" s="316">
        <v>900</v>
      </c>
    </row>
    <row r="87" spans="1:7" s="480" customFormat="1">
      <c r="A87" s="571">
        <v>56</v>
      </c>
      <c r="B87" s="570"/>
      <c r="C87" s="570" t="s">
        <v>158</v>
      </c>
      <c r="D87" s="317">
        <v>18594.560959999999</v>
      </c>
      <c r="E87" s="316">
        <v>15622.74</v>
      </c>
      <c r="F87" s="316">
        <v>25227.356820000001</v>
      </c>
      <c r="G87" s="316">
        <v>14867.74</v>
      </c>
    </row>
    <row r="88" spans="1:7" s="480" customFormat="1">
      <c r="A88" s="567">
        <v>57</v>
      </c>
      <c r="B88" s="565"/>
      <c r="C88" s="565" t="s">
        <v>143</v>
      </c>
      <c r="D88" s="317">
        <v>12120.48115</v>
      </c>
      <c r="E88" s="316">
        <v>13475</v>
      </c>
      <c r="F88" s="316">
        <v>13310.807000000001</v>
      </c>
      <c r="G88" s="316">
        <v>14175</v>
      </c>
    </row>
    <row r="89" spans="1:7" s="480" customFormat="1">
      <c r="A89" s="567">
        <v>580</v>
      </c>
      <c r="B89" s="565"/>
      <c r="C89" s="565" t="s">
        <v>157</v>
      </c>
      <c r="D89" s="317">
        <v>0</v>
      </c>
      <c r="E89" s="316">
        <v>0</v>
      </c>
      <c r="F89" s="316">
        <v>0</v>
      </c>
      <c r="G89" s="316">
        <v>0</v>
      </c>
    </row>
    <row r="90" spans="1:7" s="480" customFormat="1">
      <c r="A90" s="567">
        <v>582</v>
      </c>
      <c r="B90" s="565"/>
      <c r="C90" s="565" t="s">
        <v>156</v>
      </c>
      <c r="D90" s="317">
        <v>0</v>
      </c>
      <c r="E90" s="316">
        <v>0</v>
      </c>
      <c r="F90" s="316">
        <v>0</v>
      </c>
      <c r="G90" s="316">
        <v>0</v>
      </c>
    </row>
    <row r="91" spans="1:7" s="480" customFormat="1">
      <c r="A91" s="567">
        <v>584</v>
      </c>
      <c r="B91" s="565"/>
      <c r="C91" s="565" t="s">
        <v>155</v>
      </c>
      <c r="D91" s="317">
        <v>0</v>
      </c>
      <c r="E91" s="316">
        <v>0</v>
      </c>
      <c r="F91" s="316">
        <v>0</v>
      </c>
      <c r="G91" s="316">
        <v>0</v>
      </c>
    </row>
    <row r="92" spans="1:7" s="480" customFormat="1">
      <c r="A92" s="567">
        <v>585</v>
      </c>
      <c r="B92" s="565"/>
      <c r="C92" s="565" t="s">
        <v>154</v>
      </c>
      <c r="D92" s="317">
        <v>0</v>
      </c>
      <c r="E92" s="316">
        <v>0</v>
      </c>
      <c r="F92" s="316">
        <v>0</v>
      </c>
      <c r="G92" s="316">
        <v>0</v>
      </c>
    </row>
    <row r="93" spans="1:7" s="480" customFormat="1">
      <c r="A93" s="567">
        <v>586</v>
      </c>
      <c r="B93" s="565"/>
      <c r="C93" s="565" t="s">
        <v>153</v>
      </c>
      <c r="D93" s="317">
        <v>0</v>
      </c>
      <c r="E93" s="316">
        <v>0</v>
      </c>
      <c r="F93" s="316">
        <v>0</v>
      </c>
      <c r="G93" s="316">
        <v>0</v>
      </c>
    </row>
    <row r="94" spans="1:7" s="480" customFormat="1">
      <c r="A94" s="568">
        <v>589</v>
      </c>
      <c r="B94" s="561"/>
      <c r="C94" s="561" t="s">
        <v>152</v>
      </c>
      <c r="D94" s="333">
        <v>0</v>
      </c>
      <c r="E94" s="372">
        <v>0</v>
      </c>
      <c r="F94" s="372">
        <v>0</v>
      </c>
      <c r="G94" s="372">
        <v>0</v>
      </c>
    </row>
    <row r="95" spans="1:7">
      <c r="A95" s="557">
        <v>5</v>
      </c>
      <c r="B95" s="555"/>
      <c r="C95" s="555" t="s">
        <v>151</v>
      </c>
      <c r="D95" s="348">
        <f>SUM(D82:D94)</f>
        <v>179654.53502000001</v>
      </c>
      <c r="E95" s="348">
        <f>SUM(E82:E94)</f>
        <v>189756.35399999999</v>
      </c>
      <c r="F95" s="348">
        <f>SUM(F82:F94)</f>
        <v>173707.60101000001</v>
      </c>
      <c r="G95" s="348">
        <f>SUM(G82:G94)</f>
        <v>184724.32699999999</v>
      </c>
    </row>
    <row r="96" spans="1:7" s="480" customFormat="1">
      <c r="A96" s="567">
        <v>60</v>
      </c>
      <c r="B96" s="565"/>
      <c r="C96" s="565" t="s">
        <v>150</v>
      </c>
      <c r="D96" s="317">
        <v>448.12439000000001</v>
      </c>
      <c r="E96" s="316">
        <v>200</v>
      </c>
      <c r="F96" s="317">
        <v>680.15114000000005</v>
      </c>
      <c r="G96" s="316">
        <v>200</v>
      </c>
    </row>
    <row r="97" spans="1:7" s="480" customFormat="1">
      <c r="A97" s="567">
        <v>61</v>
      </c>
      <c r="B97" s="565"/>
      <c r="C97" s="565" t="s">
        <v>149</v>
      </c>
      <c r="D97" s="317">
        <v>17580.711899999998</v>
      </c>
      <c r="E97" s="316">
        <v>3400</v>
      </c>
      <c r="F97" s="317">
        <v>4217.8256300000003</v>
      </c>
      <c r="G97" s="316">
        <v>1300</v>
      </c>
    </row>
    <row r="98" spans="1:7" s="480" customFormat="1">
      <c r="A98" s="567">
        <v>62</v>
      </c>
      <c r="B98" s="565"/>
      <c r="C98" s="565" t="s">
        <v>148</v>
      </c>
      <c r="D98" s="317">
        <v>0</v>
      </c>
      <c r="E98" s="316">
        <v>0</v>
      </c>
      <c r="F98" s="317">
        <v>0</v>
      </c>
      <c r="G98" s="316">
        <v>0</v>
      </c>
    </row>
    <row r="99" spans="1:7" s="480" customFormat="1">
      <c r="A99" s="567">
        <v>63</v>
      </c>
      <c r="B99" s="565"/>
      <c r="C99" s="565" t="s">
        <v>147</v>
      </c>
      <c r="D99" s="317">
        <v>30937.327450000001</v>
      </c>
      <c r="E99" s="316">
        <v>30421</v>
      </c>
      <c r="F99" s="317">
        <v>28152.65436</v>
      </c>
      <c r="G99" s="316">
        <v>29286.960999999999</v>
      </c>
    </row>
    <row r="100" spans="1:7" s="480" customFormat="1">
      <c r="A100" s="567">
        <v>64</v>
      </c>
      <c r="B100" s="565"/>
      <c r="C100" s="565" t="s">
        <v>146</v>
      </c>
      <c r="D100" s="317">
        <v>2678.1522799999998</v>
      </c>
      <c r="E100" s="316">
        <v>2296.1999999999998</v>
      </c>
      <c r="F100" s="317">
        <v>3181.6525000000001</v>
      </c>
      <c r="G100" s="316">
        <v>2318.1</v>
      </c>
    </row>
    <row r="101" spans="1:7" s="480" customFormat="1">
      <c r="A101" s="567">
        <v>65</v>
      </c>
      <c r="B101" s="565"/>
      <c r="C101" s="565" t="s">
        <v>145</v>
      </c>
      <c r="D101" s="317">
        <v>0</v>
      </c>
      <c r="E101" s="316">
        <v>0</v>
      </c>
      <c r="F101" s="317">
        <v>0</v>
      </c>
      <c r="G101" s="316">
        <v>0</v>
      </c>
    </row>
    <row r="102" spans="1:7" s="480" customFormat="1">
      <c r="A102" s="567">
        <v>66</v>
      </c>
      <c r="B102" s="565"/>
      <c r="C102" s="565" t="s">
        <v>144</v>
      </c>
      <c r="D102" s="317">
        <v>25.254049999999999</v>
      </c>
      <c r="E102" s="316">
        <v>30</v>
      </c>
      <c r="F102" s="317">
        <v>16.82375</v>
      </c>
      <c r="G102" s="316">
        <v>30</v>
      </c>
    </row>
    <row r="103" spans="1:7" s="480" customFormat="1">
      <c r="A103" s="567">
        <v>67</v>
      </c>
      <c r="B103" s="565"/>
      <c r="C103" s="565" t="s">
        <v>143</v>
      </c>
      <c r="D103" s="362">
        <v>12120.48115</v>
      </c>
      <c r="E103" s="361">
        <v>13475</v>
      </c>
      <c r="F103" s="362">
        <v>13310.807000000001</v>
      </c>
      <c r="G103" s="361">
        <v>14175</v>
      </c>
    </row>
    <row r="104" spans="1:7" s="480" customFormat="1" ht="25.5">
      <c r="A104" s="566" t="s">
        <v>142</v>
      </c>
      <c r="B104" s="565"/>
      <c r="C104" s="564" t="s">
        <v>141</v>
      </c>
      <c r="D104" s="362">
        <v>0</v>
      </c>
      <c r="E104" s="361">
        <v>0</v>
      </c>
      <c r="F104" s="362">
        <v>0</v>
      </c>
      <c r="G104" s="361">
        <v>0</v>
      </c>
    </row>
    <row r="105" spans="1:7" s="480" customFormat="1" ht="38.25">
      <c r="A105" s="562" t="s">
        <v>140</v>
      </c>
      <c r="B105" s="561"/>
      <c r="C105" s="560" t="s">
        <v>139</v>
      </c>
      <c r="D105" s="559">
        <v>0</v>
      </c>
      <c r="E105" s="558">
        <v>0</v>
      </c>
      <c r="F105" s="559">
        <v>0</v>
      </c>
      <c r="G105" s="558">
        <v>0</v>
      </c>
    </row>
    <row r="106" spans="1:7">
      <c r="A106" s="557">
        <v>6</v>
      </c>
      <c r="B106" s="555"/>
      <c r="C106" s="555" t="s">
        <v>138</v>
      </c>
      <c r="D106" s="348">
        <f>SUM(D96:D105)</f>
        <v>63790.051220000008</v>
      </c>
      <c r="E106" s="348">
        <f>SUM(E96:E105)</f>
        <v>49822.2</v>
      </c>
      <c r="F106" s="348">
        <f>SUM(F96:F105)</f>
        <v>49559.914380000009</v>
      </c>
      <c r="G106" s="348">
        <f>SUM(G96:G105)</f>
        <v>47310.061000000002</v>
      </c>
    </row>
    <row r="107" spans="1:7">
      <c r="A107" s="556" t="s">
        <v>137</v>
      </c>
      <c r="B107" s="556"/>
      <c r="C107" s="555" t="s">
        <v>3</v>
      </c>
      <c r="D107" s="348">
        <f>(D95-D88)-(D106-D103)</f>
        <v>115864.48379999999</v>
      </c>
      <c r="E107" s="348">
        <f>(E95-E88)-(E106-E103)</f>
        <v>139934.15399999998</v>
      </c>
      <c r="F107" s="348">
        <f>(F95-F88)-(F106-F103)</f>
        <v>124147.68663000001</v>
      </c>
      <c r="G107" s="348">
        <f>(G95-G88)-(G106-G103)</f>
        <v>137414.266</v>
      </c>
    </row>
    <row r="108" spans="1:7">
      <c r="A108" s="554" t="s">
        <v>136</v>
      </c>
      <c r="B108" s="554"/>
      <c r="C108" s="553" t="s">
        <v>135</v>
      </c>
      <c r="D108" s="552">
        <f>D107-D85-D86+D100+D101</f>
        <v>116836.65412999998</v>
      </c>
      <c r="E108" s="552">
        <f>E107-E85-E86+E100+E101</f>
        <v>137980.35399999999</v>
      </c>
      <c r="F108" s="552">
        <f>F107-F85-F86+F100+F101</f>
        <v>124889.93413000001</v>
      </c>
      <c r="G108" s="552">
        <f>G107-G85-G86+G100+G101</f>
        <v>136402.36600000001</v>
      </c>
    </row>
    <row r="109" spans="1:7">
      <c r="A109" s="534"/>
      <c r="B109" s="534"/>
      <c r="C109" s="533"/>
      <c r="D109" s="260"/>
      <c r="E109" s="260"/>
      <c r="F109" s="260"/>
      <c r="G109" s="260"/>
    </row>
    <row r="110" spans="1:7" s="512" customFormat="1">
      <c r="A110" s="550" t="s">
        <v>134</v>
      </c>
      <c r="B110" s="551"/>
      <c r="C110" s="550"/>
      <c r="D110" s="260"/>
      <c r="E110" s="260"/>
      <c r="F110" s="260"/>
      <c r="G110" s="260"/>
    </row>
    <row r="111" spans="1:7" s="516" customFormat="1">
      <c r="A111" s="532">
        <v>10</v>
      </c>
      <c r="B111" s="531"/>
      <c r="C111" s="531" t="s">
        <v>133</v>
      </c>
      <c r="D111" s="327">
        <f>D112+D117</f>
        <v>1515506.9615100003</v>
      </c>
      <c r="E111" s="326">
        <f>E112+E117</f>
        <v>1454676.423</v>
      </c>
      <c r="F111" s="327">
        <f>F112+F117</f>
        <v>1501780.5992800002</v>
      </c>
      <c r="G111" s="326">
        <f>G112+G117</f>
        <v>1494890.2519999999</v>
      </c>
    </row>
    <row r="112" spans="1:7" s="516" customFormat="1">
      <c r="A112" s="539" t="s">
        <v>132</v>
      </c>
      <c r="B112" s="519"/>
      <c r="C112" s="519" t="s">
        <v>131</v>
      </c>
      <c r="D112" s="327">
        <f>D113+D114+D115+D116</f>
        <v>897196.46273000014</v>
      </c>
      <c r="E112" s="326">
        <f>E113+E114+E115+E116</f>
        <v>818676.42299999995</v>
      </c>
      <c r="F112" s="327">
        <f>F113+F114+F115+F116</f>
        <v>918185.66840000008</v>
      </c>
      <c r="G112" s="326">
        <f>G113+G114+G115+G116</f>
        <v>876590.25199999998</v>
      </c>
    </row>
    <row r="113" spans="1:7" s="516" customFormat="1">
      <c r="A113" s="537" t="s">
        <v>130</v>
      </c>
      <c r="B113" s="526"/>
      <c r="C113" s="526" t="s">
        <v>129</v>
      </c>
      <c r="D113" s="317">
        <v>580218.67914000002</v>
      </c>
      <c r="E113" s="316">
        <v>551000</v>
      </c>
      <c r="F113" s="317">
        <v>564995.08276999998</v>
      </c>
      <c r="G113" s="316">
        <v>580200</v>
      </c>
    </row>
    <row r="114" spans="1:7" s="546" customFormat="1" ht="15" customHeight="1">
      <c r="A114" s="524">
        <v>102</v>
      </c>
      <c r="B114" s="665"/>
      <c r="C114" s="665" t="s">
        <v>128</v>
      </c>
      <c r="D114" s="343">
        <v>1614.4690000000001</v>
      </c>
      <c r="E114" s="342">
        <v>6000</v>
      </c>
      <c r="F114" s="343">
        <v>3.99</v>
      </c>
      <c r="G114" s="342">
        <v>1600</v>
      </c>
    </row>
    <row r="115" spans="1:7" s="516" customFormat="1">
      <c r="A115" s="537">
        <v>104</v>
      </c>
      <c r="B115" s="526"/>
      <c r="C115" s="526" t="s">
        <v>127</v>
      </c>
      <c r="D115" s="317">
        <v>312296.42997</v>
      </c>
      <c r="E115" s="316">
        <v>258676.42300000001</v>
      </c>
      <c r="F115" s="317">
        <v>350339.46454000002</v>
      </c>
      <c r="G115" s="316">
        <v>291690.25199999998</v>
      </c>
    </row>
    <row r="116" spans="1:7" s="516" customFormat="1">
      <c r="A116" s="537">
        <v>106</v>
      </c>
      <c r="B116" s="526"/>
      <c r="C116" s="526" t="s">
        <v>126</v>
      </c>
      <c r="D116" s="317">
        <v>3066.8846199999998</v>
      </c>
      <c r="E116" s="316">
        <v>3000</v>
      </c>
      <c r="F116" s="317">
        <v>2847.1310899999999</v>
      </c>
      <c r="G116" s="316">
        <v>3100</v>
      </c>
    </row>
    <row r="117" spans="1:7" s="516" customFormat="1">
      <c r="A117" s="539" t="s">
        <v>125</v>
      </c>
      <c r="B117" s="519"/>
      <c r="C117" s="519" t="s">
        <v>124</v>
      </c>
      <c r="D117" s="327">
        <f>D118+D119+D120</f>
        <v>618310.49878000002</v>
      </c>
      <c r="E117" s="326">
        <f>E118+E119+E120</f>
        <v>636000</v>
      </c>
      <c r="F117" s="327">
        <f>F118+F119+F120</f>
        <v>583594.93088</v>
      </c>
      <c r="G117" s="326">
        <f>G118+G119+G120</f>
        <v>618300</v>
      </c>
    </row>
    <row r="118" spans="1:7" s="516" customFormat="1">
      <c r="A118" s="537">
        <v>107</v>
      </c>
      <c r="B118" s="526"/>
      <c r="C118" s="526" t="s">
        <v>123</v>
      </c>
      <c r="D118" s="317">
        <v>492417.9901</v>
      </c>
      <c r="E118" s="316">
        <v>510000</v>
      </c>
      <c r="F118" s="317">
        <v>451515.94300000003</v>
      </c>
      <c r="G118" s="316">
        <v>492400</v>
      </c>
    </row>
    <row r="119" spans="1:7" s="516" customFormat="1">
      <c r="A119" s="537">
        <v>108</v>
      </c>
      <c r="B119" s="526"/>
      <c r="C119" s="526" t="s">
        <v>122</v>
      </c>
      <c r="D119" s="317">
        <v>125892.50868</v>
      </c>
      <c r="E119" s="316">
        <v>126000</v>
      </c>
      <c r="F119" s="317">
        <v>132078.98788</v>
      </c>
      <c r="G119" s="316">
        <v>125900</v>
      </c>
    </row>
    <row r="120" spans="1:7" s="538" customFormat="1" ht="25.5">
      <c r="A120" s="524">
        <v>109</v>
      </c>
      <c r="B120" s="523"/>
      <c r="C120" s="523" t="s">
        <v>121</v>
      </c>
      <c r="D120" s="311">
        <v>0</v>
      </c>
      <c r="E120" s="310">
        <v>0</v>
      </c>
      <c r="F120" s="311">
        <v>0</v>
      </c>
      <c r="G120" s="310">
        <v>0</v>
      </c>
    </row>
    <row r="121" spans="1:7" s="516" customFormat="1">
      <c r="A121" s="539">
        <v>14</v>
      </c>
      <c r="B121" s="519"/>
      <c r="C121" s="519" t="s">
        <v>120</v>
      </c>
      <c r="D121" s="327">
        <f>SUM(D122:D130)</f>
        <v>4703329.4306100002</v>
      </c>
      <c r="E121" s="327">
        <f>SUM(E122:E130)</f>
        <v>4735893.2011200003</v>
      </c>
      <c r="F121" s="327">
        <f>SUM(F122:F130)</f>
        <v>4696053.2467799997</v>
      </c>
      <c r="G121" s="327">
        <f>SUM(G122:G130)</f>
        <v>4724673.1600299999</v>
      </c>
    </row>
    <row r="122" spans="1:7" s="516" customFormat="1">
      <c r="A122" s="537" t="s">
        <v>119</v>
      </c>
      <c r="B122" s="526"/>
      <c r="C122" s="526" t="s">
        <v>118</v>
      </c>
      <c r="D122" s="317">
        <v>3251626.56635</v>
      </c>
      <c r="E122" s="316">
        <v>3288135.5101600001</v>
      </c>
      <c r="F122" s="317">
        <v>3249570.9060399998</v>
      </c>
      <c r="G122" s="316">
        <v>3286248.55222</v>
      </c>
    </row>
    <row r="123" spans="1:7" s="516" customFormat="1">
      <c r="A123" s="537">
        <v>144</v>
      </c>
      <c r="B123" s="526"/>
      <c r="C123" s="526" t="s">
        <v>117</v>
      </c>
      <c r="D123" s="317">
        <v>340392.56224</v>
      </c>
      <c r="E123" s="316">
        <v>342823.23267</v>
      </c>
      <c r="F123" s="317">
        <v>338357.81474</v>
      </c>
      <c r="G123" s="316">
        <v>342408.26224000001</v>
      </c>
    </row>
    <row r="124" spans="1:7" s="516" customFormat="1">
      <c r="A124" s="537">
        <v>145</v>
      </c>
      <c r="B124" s="526"/>
      <c r="C124" s="526" t="s">
        <v>116</v>
      </c>
      <c r="D124" s="317">
        <v>672979.19635999994</v>
      </c>
      <c r="E124" s="316">
        <v>673029.19536000001</v>
      </c>
      <c r="F124" s="317">
        <v>676229.19536000001</v>
      </c>
      <c r="G124" s="316">
        <v>673929.19635999994</v>
      </c>
    </row>
    <row r="125" spans="1:7" s="516" customFormat="1">
      <c r="A125" s="537">
        <v>146</v>
      </c>
      <c r="B125" s="526"/>
      <c r="C125" s="526" t="s">
        <v>115</v>
      </c>
      <c r="D125" s="317">
        <v>438331.10566</v>
      </c>
      <c r="E125" s="316">
        <v>431905.26293000003</v>
      </c>
      <c r="F125" s="317">
        <v>431895.33064</v>
      </c>
      <c r="G125" s="316">
        <v>422087.14921</v>
      </c>
    </row>
    <row r="126" spans="1:7" s="538" customFormat="1" ht="29.45" customHeight="1">
      <c r="A126" s="524" t="s">
        <v>114</v>
      </c>
      <c r="B126" s="523"/>
      <c r="C126" s="523" t="s">
        <v>113</v>
      </c>
      <c r="D126" s="311">
        <v>0</v>
      </c>
      <c r="E126" s="339">
        <v>0</v>
      </c>
      <c r="F126" s="311">
        <v>0</v>
      </c>
      <c r="G126" s="339">
        <v>0</v>
      </c>
    </row>
    <row r="127" spans="1:7" s="516" customFormat="1">
      <c r="A127" s="537">
        <v>1484</v>
      </c>
      <c r="B127" s="526"/>
      <c r="C127" s="526" t="s">
        <v>112</v>
      </c>
      <c r="D127" s="317">
        <v>0</v>
      </c>
      <c r="E127" s="304">
        <v>0</v>
      </c>
      <c r="F127" s="317">
        <v>0</v>
      </c>
      <c r="G127" s="304">
        <v>0</v>
      </c>
    </row>
    <row r="128" spans="1:7" s="516" customFormat="1">
      <c r="A128" s="537">
        <v>1485</v>
      </c>
      <c r="B128" s="526"/>
      <c r="C128" s="526" t="s">
        <v>111</v>
      </c>
      <c r="D128" s="317">
        <v>0</v>
      </c>
      <c r="E128" s="304">
        <v>0</v>
      </c>
      <c r="F128" s="317">
        <v>0</v>
      </c>
      <c r="G128" s="304">
        <v>0</v>
      </c>
    </row>
    <row r="129" spans="1:7" s="516" customFormat="1">
      <c r="A129" s="537">
        <v>1486</v>
      </c>
      <c r="B129" s="526"/>
      <c r="C129" s="526" t="s">
        <v>110</v>
      </c>
      <c r="D129" s="317">
        <v>0</v>
      </c>
      <c r="E129" s="304">
        <v>0</v>
      </c>
      <c r="F129" s="317">
        <v>0</v>
      </c>
      <c r="G129" s="304">
        <v>0</v>
      </c>
    </row>
    <row r="130" spans="1:7" s="516" customFormat="1">
      <c r="A130" s="536">
        <v>1489</v>
      </c>
      <c r="B130" s="535"/>
      <c r="C130" s="535" t="s">
        <v>109</v>
      </c>
      <c r="D130" s="333">
        <v>0</v>
      </c>
      <c r="E130" s="332">
        <v>0</v>
      </c>
      <c r="F130" s="333">
        <v>0</v>
      </c>
      <c r="G130" s="332">
        <v>0</v>
      </c>
    </row>
    <row r="131" spans="1:7" s="512" customFormat="1">
      <c r="A131" s="515">
        <v>1</v>
      </c>
      <c r="B131" s="514"/>
      <c r="C131" s="515" t="s">
        <v>108</v>
      </c>
      <c r="D131" s="295">
        <f>D111+D121</f>
        <v>6218836.39212</v>
      </c>
      <c r="E131" s="295">
        <f>E111+E121</f>
        <v>6190569.6241200007</v>
      </c>
      <c r="F131" s="295">
        <f>F111+F121</f>
        <v>6197833.8460600004</v>
      </c>
      <c r="G131" s="295">
        <f>G111+G121</f>
        <v>6219563.4120300002</v>
      </c>
    </row>
    <row r="132" spans="1:7" s="512" customFormat="1">
      <c r="A132" s="534"/>
      <c r="B132" s="534"/>
      <c r="C132" s="533"/>
      <c r="D132" s="260"/>
      <c r="E132" s="260"/>
      <c r="F132" s="260"/>
      <c r="G132" s="260"/>
    </row>
    <row r="133" spans="1:7" s="516" customFormat="1">
      <c r="A133" s="532">
        <v>20</v>
      </c>
      <c r="B133" s="531"/>
      <c r="C133" s="531" t="s">
        <v>107</v>
      </c>
      <c r="D133" s="329">
        <f>D134+D140</f>
        <v>2399843.1530800001</v>
      </c>
      <c r="E133" s="530">
        <f>E134+E140</f>
        <v>2363432.99621</v>
      </c>
      <c r="F133" s="329">
        <f>F134+F140</f>
        <v>2401400.0235800003</v>
      </c>
      <c r="G133" s="530">
        <f>G134+G140</f>
        <v>2416853.7769799996</v>
      </c>
    </row>
    <row r="134" spans="1:7" s="516" customFormat="1">
      <c r="A134" s="520" t="s">
        <v>106</v>
      </c>
      <c r="B134" s="519"/>
      <c r="C134" s="519" t="s">
        <v>105</v>
      </c>
      <c r="D134" s="327">
        <f>D135+D136+D138+D139</f>
        <v>804554.30404000008</v>
      </c>
      <c r="E134" s="326">
        <f>E135+E136+E138+E139</f>
        <v>756594.29599999997</v>
      </c>
      <c r="F134" s="327">
        <f>F135+F136+F138+F139</f>
        <v>768863.50630999997</v>
      </c>
      <c r="G134" s="326">
        <f>G135+G136+G138+G139</f>
        <v>778534.98699999996</v>
      </c>
    </row>
    <row r="135" spans="1:7" s="525" customFormat="1">
      <c r="A135" s="527">
        <v>200</v>
      </c>
      <c r="B135" s="526"/>
      <c r="C135" s="526" t="s">
        <v>104</v>
      </c>
      <c r="D135" s="317">
        <v>280999.89332999999</v>
      </c>
      <c r="E135" s="317">
        <v>188000</v>
      </c>
      <c r="F135" s="317">
        <v>305035.90379000001</v>
      </c>
      <c r="G135" s="317">
        <v>279822.41499999998</v>
      </c>
    </row>
    <row r="136" spans="1:7" s="525" customFormat="1">
      <c r="A136" s="527">
        <v>201</v>
      </c>
      <c r="B136" s="526"/>
      <c r="C136" s="526" t="s">
        <v>103</v>
      </c>
      <c r="D136" s="317">
        <v>230878.307</v>
      </c>
      <c r="E136" s="317">
        <v>223000</v>
      </c>
      <c r="F136" s="317">
        <v>192353.78200000001</v>
      </c>
      <c r="G136" s="317">
        <v>230900</v>
      </c>
    </row>
    <row r="137" spans="1:7" s="525" customFormat="1">
      <c r="A137" s="529" t="s">
        <v>102</v>
      </c>
      <c r="B137" s="528"/>
      <c r="C137" s="528" t="s">
        <v>101</v>
      </c>
      <c r="D137" s="322">
        <v>2044.316</v>
      </c>
      <c r="E137" s="322">
        <v>9546.49</v>
      </c>
      <c r="F137" s="322">
        <v>7334.625</v>
      </c>
      <c r="G137" s="322">
        <v>0</v>
      </c>
    </row>
    <row r="138" spans="1:7" s="525" customFormat="1">
      <c r="A138" s="527">
        <v>204</v>
      </c>
      <c r="B138" s="526"/>
      <c r="C138" s="526" t="s">
        <v>100</v>
      </c>
      <c r="D138" s="317">
        <v>265119.51142</v>
      </c>
      <c r="E138" s="317">
        <v>314610</v>
      </c>
      <c r="F138" s="317">
        <v>244374.73600999999</v>
      </c>
      <c r="G138" s="317">
        <v>240212.57199999999</v>
      </c>
    </row>
    <row r="139" spans="1:7" s="525" customFormat="1">
      <c r="A139" s="527">
        <v>205</v>
      </c>
      <c r="B139" s="526"/>
      <c r="C139" s="526" t="s">
        <v>99</v>
      </c>
      <c r="D139" s="317">
        <v>27556.592290000001</v>
      </c>
      <c r="E139" s="317">
        <v>30984.295999999998</v>
      </c>
      <c r="F139" s="317">
        <v>27099.084510000001</v>
      </c>
      <c r="G139" s="317">
        <v>27600</v>
      </c>
    </row>
    <row r="140" spans="1:7" s="525" customFormat="1">
      <c r="A140" s="520" t="s">
        <v>98</v>
      </c>
      <c r="B140" s="519"/>
      <c r="C140" s="519" t="s">
        <v>97</v>
      </c>
      <c r="D140" s="327">
        <f>D141+D143+D144</f>
        <v>1595288.84904</v>
      </c>
      <c r="E140" s="326">
        <f>E141+E143+E144</f>
        <v>1606838.7002099999</v>
      </c>
      <c r="F140" s="327">
        <f>F141+F143+F144</f>
        <v>1632536.5172700002</v>
      </c>
      <c r="G140" s="326">
        <f>G141+G143+G144</f>
        <v>1638318.7899799999</v>
      </c>
    </row>
    <row r="141" spans="1:7" s="525" customFormat="1">
      <c r="A141" s="527">
        <v>206</v>
      </c>
      <c r="B141" s="526"/>
      <c r="C141" s="526" t="s">
        <v>96</v>
      </c>
      <c r="D141" s="317">
        <v>1506972.80263</v>
      </c>
      <c r="E141" s="304">
        <v>1531229.59121</v>
      </c>
      <c r="F141" s="317">
        <v>1547210.8079200001</v>
      </c>
      <c r="G141" s="304">
        <v>1556067.2389799999</v>
      </c>
    </row>
    <row r="142" spans="1:7" s="525" customFormat="1">
      <c r="A142" s="529" t="s">
        <v>95</v>
      </c>
      <c r="B142" s="528"/>
      <c r="C142" s="528" t="s">
        <v>94</v>
      </c>
      <c r="D142" s="322">
        <v>502539.07283999998</v>
      </c>
      <c r="E142" s="317">
        <v>516332.69549999997</v>
      </c>
      <c r="F142" s="322">
        <v>514320.61612999998</v>
      </c>
      <c r="G142" s="317">
        <v>528830.41683999996</v>
      </c>
    </row>
    <row r="143" spans="1:7" s="525" customFormat="1">
      <c r="A143" s="527">
        <v>208</v>
      </c>
      <c r="B143" s="526"/>
      <c r="C143" s="526" t="s">
        <v>93</v>
      </c>
      <c r="D143" s="317">
        <v>47364.594349999999</v>
      </c>
      <c r="E143" s="322">
        <v>44559.108999999997</v>
      </c>
      <c r="F143" s="317">
        <v>45416.411950000002</v>
      </c>
      <c r="G143" s="322">
        <v>42700</v>
      </c>
    </row>
    <row r="144" spans="1:7" s="521" customFormat="1" ht="40.15" customHeight="1">
      <c r="A144" s="524">
        <v>209</v>
      </c>
      <c r="B144" s="523"/>
      <c r="C144" s="523" t="s">
        <v>92</v>
      </c>
      <c r="D144" s="311">
        <v>40951.452060000003</v>
      </c>
      <c r="E144" s="317">
        <v>31050</v>
      </c>
      <c r="F144" s="311">
        <v>39909.297400000003</v>
      </c>
      <c r="G144" s="317">
        <v>39551.550999999999</v>
      </c>
    </row>
    <row r="145" spans="1:7" s="516" customFormat="1">
      <c r="A145" s="520">
        <v>29</v>
      </c>
      <c r="B145" s="519"/>
      <c r="C145" s="519" t="s">
        <v>61</v>
      </c>
      <c r="D145" s="305">
        <v>3818993.2390399999</v>
      </c>
      <c r="E145" s="304">
        <v>3827136.6279099998</v>
      </c>
      <c r="F145" s="305">
        <v>3796433.8224800001</v>
      </c>
      <c r="G145" s="304">
        <v>3802709.6350500002</v>
      </c>
    </row>
    <row r="146" spans="1:7" s="516" customFormat="1">
      <c r="A146" s="518" t="s">
        <v>91</v>
      </c>
      <c r="B146" s="517"/>
      <c r="C146" s="517" t="s">
        <v>90</v>
      </c>
      <c r="D146" s="300">
        <v>733509.73684000003</v>
      </c>
      <c r="E146" s="299">
        <v>742270.19320999901</v>
      </c>
      <c r="F146" s="300">
        <v>770328.26454</v>
      </c>
      <c r="G146" s="299">
        <v>717226.13285000005</v>
      </c>
    </row>
    <row r="147" spans="1:7" s="512" customFormat="1">
      <c r="A147" s="515">
        <v>2</v>
      </c>
      <c r="B147" s="514"/>
      <c r="C147" s="515" t="s">
        <v>89</v>
      </c>
      <c r="D147" s="295">
        <f>D133+D145</f>
        <v>6218836.39212</v>
      </c>
      <c r="E147" s="295">
        <f>E133+E145</f>
        <v>6190569.6241199998</v>
      </c>
      <c r="F147" s="295">
        <f>F133+F145</f>
        <v>6197833.8460600004</v>
      </c>
      <c r="G147" s="295">
        <f>G133+G145</f>
        <v>6219563.4120300002</v>
      </c>
    </row>
    <row r="148" spans="1:7" ht="7.5" customHeight="1">
      <c r="D148" s="512"/>
      <c r="F148" s="512"/>
    </row>
    <row r="149" spans="1:7" ht="13.5" customHeight="1">
      <c r="A149" s="511" t="s">
        <v>88</v>
      </c>
      <c r="B149" s="509"/>
      <c r="C149" s="664" t="s">
        <v>87</v>
      </c>
      <c r="D149" s="509"/>
      <c r="E149" s="509"/>
      <c r="F149" s="509"/>
      <c r="G149" s="509"/>
    </row>
    <row r="150" spans="1:7">
      <c r="A150" s="658" t="s">
        <v>86</v>
      </c>
      <c r="B150" s="657"/>
      <c r="C150" s="657" t="s">
        <v>85</v>
      </c>
      <c r="D150" s="268">
        <f>D77+SUM(D8:D12)-D30-D31+D16-D33+D59+D63-D73+D64-D74-D54+D20-D35</f>
        <v>142714.69644999999</v>
      </c>
      <c r="E150" s="268">
        <f>E77+SUM(E8:E12)-E30-E31+E16-E33+E59+E63-E73+E64-E74-E54+E20-E35</f>
        <v>150045.02489000035</v>
      </c>
      <c r="F150" s="268">
        <f>F77+SUM(F8:F12)-F30-F31+F16-F33+F59+F63-F73+F64-F74-F54+F20-F35</f>
        <v>154001.32608999987</v>
      </c>
      <c r="G150" s="268">
        <f>G77+SUM(G8:G12)-G30-G31+G16-G33+G59+G63-G73+G64-G74-G54+G20-G35</f>
        <v>118224.20570000005</v>
      </c>
    </row>
    <row r="151" spans="1:7">
      <c r="A151" s="654" t="s">
        <v>84</v>
      </c>
      <c r="B151" s="653"/>
      <c r="C151" s="653" t="s">
        <v>83</v>
      </c>
      <c r="D151" s="269">
        <f>IF(D177=0,0,D150/D177)</f>
        <v>5.2133280754492431E-2</v>
      </c>
      <c r="E151" s="269">
        <f>IF(E177=0,0,E150/E177)</f>
        <v>5.512575405693939E-2</v>
      </c>
      <c r="F151" s="269">
        <f>IF(F177=0,0,F150/F177)</f>
        <v>5.6278756557745994E-2</v>
      </c>
      <c r="G151" s="269">
        <f>IF(G177=0,0,G150/G177)</f>
        <v>4.3689650108910377E-2</v>
      </c>
    </row>
    <row r="152" spans="1:7" s="504" customFormat="1" ht="25.5">
      <c r="A152" s="508" t="s">
        <v>81</v>
      </c>
      <c r="B152" s="661"/>
      <c r="C152" s="661" t="s">
        <v>82</v>
      </c>
      <c r="D152" s="505">
        <f>IF(D107=0,0,D150/D107)</f>
        <v>1.2317380768411106</v>
      </c>
      <c r="E152" s="505">
        <f>IF(E107=0,0,E150/E107)</f>
        <v>1.0722544897080692</v>
      </c>
      <c r="F152" s="505">
        <f>IF(F107=0,0,F150/F107)</f>
        <v>1.2404687535497403</v>
      </c>
      <c r="G152" s="505">
        <f>IF(G107=0,0,G150/G107)</f>
        <v>0.86034884980574033</v>
      </c>
    </row>
    <row r="153" spans="1:7" s="504" customFormat="1" ht="25.5">
      <c r="A153" s="497" t="s">
        <v>81</v>
      </c>
      <c r="B153" s="663"/>
      <c r="C153" s="663" t="s">
        <v>80</v>
      </c>
      <c r="D153" s="274">
        <f>IF(0=D108,0,D150/D108)</f>
        <v>1.2214890738929107</v>
      </c>
      <c r="E153" s="274">
        <f>IF(0=E108,0,E150/E108)</f>
        <v>1.0874375991961895</v>
      </c>
      <c r="F153" s="274">
        <f>IF(0=F108,0,F150/F108)</f>
        <v>1.2330963833297992</v>
      </c>
      <c r="G153" s="274">
        <f>IF(0=G108,0,G150/G108)</f>
        <v>0.86673134174226896</v>
      </c>
    </row>
    <row r="154" spans="1:7" ht="25.5">
      <c r="A154" s="503" t="s">
        <v>79</v>
      </c>
      <c r="B154" s="662"/>
      <c r="C154" s="662" t="s">
        <v>78</v>
      </c>
      <c r="D154" s="279">
        <f>D150-D107</f>
        <v>26850.212650000001</v>
      </c>
      <c r="E154" s="279">
        <f>E150-E107</f>
        <v>10110.870890000369</v>
      </c>
      <c r="F154" s="279">
        <f>F150-F107</f>
        <v>29853.63945999986</v>
      </c>
      <c r="G154" s="279">
        <f>G150-G107</f>
        <v>-19190.060299999954</v>
      </c>
    </row>
    <row r="155" spans="1:7" ht="25.5">
      <c r="A155" s="497" t="s">
        <v>77</v>
      </c>
      <c r="B155" s="663"/>
      <c r="C155" s="663" t="s">
        <v>76</v>
      </c>
      <c r="D155" s="282">
        <f>D150-D108</f>
        <v>25878.042320000008</v>
      </c>
      <c r="E155" s="282">
        <f>E150-E108</f>
        <v>12064.670890000358</v>
      </c>
      <c r="F155" s="282">
        <f>F150-F108</f>
        <v>29111.391959999863</v>
      </c>
      <c r="G155" s="282">
        <f>G150-G108</f>
        <v>-18178.16029999996</v>
      </c>
    </row>
    <row r="156" spans="1:7">
      <c r="A156" s="658" t="s">
        <v>75</v>
      </c>
      <c r="B156" s="657"/>
      <c r="C156" s="657" t="s">
        <v>74</v>
      </c>
      <c r="D156" s="277">
        <f>D135+D136-D137+D141-D142</f>
        <v>1514267.61412</v>
      </c>
      <c r="E156" s="277">
        <f>E135+E136-E137+E141-E142</f>
        <v>1416350.4057100001</v>
      </c>
      <c r="F156" s="277">
        <f>F135+F136-F137+F141-F142</f>
        <v>1522945.2525800001</v>
      </c>
      <c r="G156" s="277">
        <f>G135+G136-G137+G141-G142</f>
        <v>1537959.2371399999</v>
      </c>
    </row>
    <row r="157" spans="1:7">
      <c r="A157" s="656" t="s">
        <v>73</v>
      </c>
      <c r="B157" s="655"/>
      <c r="C157" s="655" t="s">
        <v>72</v>
      </c>
      <c r="D157" s="273">
        <f>IF(D177=0,0,D156/D177)</f>
        <v>0.5531577379769802</v>
      </c>
      <c r="E157" s="273">
        <f>IF(E177=0,0,E156/E177)</f>
        <v>0.52035969990244713</v>
      </c>
      <c r="F157" s="273">
        <f>IF(F177=0,0,F156/F177)</f>
        <v>0.55655017587728672</v>
      </c>
      <c r="G157" s="273">
        <f>IF(G177=0,0,G156/G177)</f>
        <v>0.56835146875859532</v>
      </c>
    </row>
    <row r="158" spans="1:7">
      <c r="A158" s="658" t="s">
        <v>71</v>
      </c>
      <c r="B158" s="657"/>
      <c r="C158" s="657" t="s">
        <v>70</v>
      </c>
      <c r="D158" s="277">
        <f>D133-D142-D111</f>
        <v>381797.11872999975</v>
      </c>
      <c r="E158" s="277">
        <f>E133-E142-E111</f>
        <v>392423.87771000015</v>
      </c>
      <c r="F158" s="277">
        <f>F133-F142-F111</f>
        <v>385298.80817000009</v>
      </c>
      <c r="G158" s="277">
        <f>G133-G142-G111</f>
        <v>393133.10813999968</v>
      </c>
    </row>
    <row r="159" spans="1:7">
      <c r="A159" s="654" t="s">
        <v>69</v>
      </c>
      <c r="B159" s="653"/>
      <c r="C159" s="653" t="s">
        <v>68</v>
      </c>
      <c r="D159" s="265">
        <f>D121-D123-D124-D142-D145</f>
        <v>-631574.63986999961</v>
      </c>
      <c r="E159" s="265">
        <f>E121-E123-E124-E142-E145</f>
        <v>-623428.55031999946</v>
      </c>
      <c r="F159" s="265">
        <f>F121-F123-F124-F142-F145</f>
        <v>-629288.20193000091</v>
      </c>
      <c r="G159" s="265">
        <f>G121-G123-G124-G142-G145</f>
        <v>-623204.35046000034</v>
      </c>
    </row>
    <row r="160" spans="1:7">
      <c r="A160" s="654" t="s">
        <v>66</v>
      </c>
      <c r="B160" s="653"/>
      <c r="C160" s="653" t="s">
        <v>67</v>
      </c>
      <c r="D160" s="276">
        <f>IF(D175=0,"-",1000*D158/D175)</f>
        <v>978.58808187086481</v>
      </c>
      <c r="E160" s="276">
        <f>IF(E175=0,"-",1000*E158/E175)</f>
        <v>1005.825635997345</v>
      </c>
      <c r="F160" s="276">
        <f>IF(F175=0,"-",1000*F158/F175)</f>
        <v>976.25315305659672</v>
      </c>
      <c r="G160" s="276">
        <f>IF(G175=0,"-",1000*G158/G175)</f>
        <v>1000.8327473103764</v>
      </c>
    </row>
    <row r="161" spans="1:7">
      <c r="A161" s="654" t="s">
        <v>66</v>
      </c>
      <c r="B161" s="653"/>
      <c r="C161" s="653" t="s">
        <v>65</v>
      </c>
      <c r="D161" s="265">
        <f>IF(D175=0,0,1000*(D159/D175))</f>
        <v>-1618.7953891442021</v>
      </c>
      <c r="E161" s="265">
        <f>IF(E175=0,0,1000*(E159/E175))</f>
        <v>-1597.9160640880054</v>
      </c>
      <c r="F161" s="265">
        <f>IF(F175=0,0,1000*(F159/F175))</f>
        <v>-1594.4627346068014</v>
      </c>
      <c r="G161" s="265">
        <f>IF(G175=0,0,1000*(G159/G175))</f>
        <v>-1586.544885923332</v>
      </c>
    </row>
    <row r="162" spans="1:7">
      <c r="A162" s="656" t="s">
        <v>64</v>
      </c>
      <c r="B162" s="655"/>
      <c r="C162" s="655" t="s">
        <v>63</v>
      </c>
      <c r="D162" s="273">
        <f>IF((D22+D23+D65+D66)=0,0,D158/(D22+D23+D65+D66))</f>
        <v>0.34471371536223328</v>
      </c>
      <c r="E162" s="273">
        <f>IF((E22+E23+E65+E66)=0,0,E158/(E22+E23+E65+E66))</f>
        <v>0.33860749795944722</v>
      </c>
      <c r="F162" s="273">
        <f>IF((F22+F23+F65+F66)=0,0,F158/(F22+F23+F65+F66))</f>
        <v>0.33053236119361556</v>
      </c>
      <c r="G162" s="273">
        <f>IF((G22+G23+G65+G66)=0,0,G158/(G22+G23+G65+G66))</f>
        <v>0.33788908828042691</v>
      </c>
    </row>
    <row r="163" spans="1:7">
      <c r="A163" s="654" t="s">
        <v>62</v>
      </c>
      <c r="B163" s="653"/>
      <c r="C163" s="653" t="s">
        <v>61</v>
      </c>
      <c r="D163" s="268">
        <f>D145</f>
        <v>3818993.2390399999</v>
      </c>
      <c r="E163" s="268">
        <f>E145</f>
        <v>3827136.6279099998</v>
      </c>
      <c r="F163" s="268">
        <f>F145</f>
        <v>3796433.8224800001</v>
      </c>
      <c r="G163" s="268">
        <f>G145</f>
        <v>3802709.6350500002</v>
      </c>
    </row>
    <row r="164" spans="1:7" ht="25.5">
      <c r="A164" s="497" t="s">
        <v>60</v>
      </c>
      <c r="B164" s="655"/>
      <c r="C164" s="655" t="s">
        <v>59</v>
      </c>
      <c r="D164" s="274">
        <f>IF(D178=0,0,D146/D178)</f>
        <v>0.26845775994107568</v>
      </c>
      <c r="E164" s="274">
        <f>IF(E178=0,0,E146/E178)</f>
        <v>0.27350721318740684</v>
      </c>
      <c r="F164" s="274">
        <f>IF(F178=0,0,F146/F178)</f>
        <v>0.28283109708389903</v>
      </c>
      <c r="G164" s="274">
        <f>IF(G178=0,0,G146/G178)</f>
        <v>0.26269559545056326</v>
      </c>
    </row>
    <row r="165" spans="1:7">
      <c r="A165" s="652" t="s">
        <v>58</v>
      </c>
      <c r="B165" s="651"/>
      <c r="C165" s="651" t="s">
        <v>57</v>
      </c>
      <c r="D165" s="262">
        <f>IF(D177=0,0,D180/D177)</f>
        <v>5.8553727474986779E-2</v>
      </c>
      <c r="E165" s="262">
        <f>IF(E177=0,0,E180/E177)</f>
        <v>6.0120361284566368E-2</v>
      </c>
      <c r="F165" s="262">
        <f>IF(F177=0,0,F180/F177)</f>
        <v>6.003885232972743E-2</v>
      </c>
      <c r="G165" s="262">
        <f>IF(G177=0,0,G180/G177)</f>
        <v>6.0250418682380874E-2</v>
      </c>
    </row>
    <row r="166" spans="1:7">
      <c r="A166" s="654" t="s">
        <v>56</v>
      </c>
      <c r="B166" s="653"/>
      <c r="C166" s="653" t="s">
        <v>55</v>
      </c>
      <c r="D166" s="268">
        <f>D55</f>
        <v>95918.543080000003</v>
      </c>
      <c r="E166" s="268">
        <f>E55</f>
        <v>78447.360000000015</v>
      </c>
      <c r="F166" s="268">
        <f>F55</f>
        <v>74364.075530000002</v>
      </c>
      <c r="G166" s="268">
        <f>G55</f>
        <v>94260.962999999989</v>
      </c>
    </row>
    <row r="167" spans="1:7">
      <c r="A167" s="656" t="s">
        <v>54</v>
      </c>
      <c r="B167" s="655"/>
      <c r="C167" s="655" t="s">
        <v>53</v>
      </c>
      <c r="D167" s="273">
        <f>IF(0=D111,0,(D44+D45+D46+D47+D48)/D111)</f>
        <v>2.2953535868512384E-2</v>
      </c>
      <c r="E167" s="273">
        <f>IF(0=E111,0,(E44+E45+E46+E47+E48)/E111)</f>
        <v>1.8647590330815447E-2</v>
      </c>
      <c r="F167" s="273">
        <f>IF(0=F111,0,(F44+F45+F46+F47+F48)/F111)</f>
        <v>1.2635531514455295E-2</v>
      </c>
      <c r="G167" s="273">
        <f>IF(0=G111,0,(G44+G45+G46+G47+G48)/G111)</f>
        <v>1.3260986867415872E-2</v>
      </c>
    </row>
    <row r="168" spans="1:7">
      <c r="A168" s="654" t="s">
        <v>52</v>
      </c>
      <c r="B168" s="657"/>
      <c r="C168" s="657" t="s">
        <v>51</v>
      </c>
      <c r="D168" s="268">
        <f>D38-D44</f>
        <v>24249.82775</v>
      </c>
      <c r="E168" s="268">
        <f>E38-E44</f>
        <v>22852.118000000002</v>
      </c>
      <c r="F168" s="268">
        <f>F38-F44</f>
        <v>22056.25475</v>
      </c>
      <c r="G168" s="268">
        <f>G38-G44</f>
        <v>21529.183999999997</v>
      </c>
    </row>
    <row r="169" spans="1:7">
      <c r="A169" s="656" t="s">
        <v>50</v>
      </c>
      <c r="B169" s="655"/>
      <c r="C169" s="655" t="s">
        <v>49</v>
      </c>
      <c r="D169" s="269">
        <f>IF(D177=0,0,D168/D177)</f>
        <v>8.8583944736325831E-3</v>
      </c>
      <c r="E169" s="269">
        <f>IF(E177=0,0,E168/E177)</f>
        <v>8.3957481260820681E-3</v>
      </c>
      <c r="F169" s="269">
        <f>IF(F177=0,0,F168/F177)</f>
        <v>8.0603110581362897E-3</v>
      </c>
      <c r="G169" s="269">
        <f>IF(G177=0,0,G168/G177)</f>
        <v>7.9560908066253228E-3</v>
      </c>
    </row>
    <row r="170" spans="1:7">
      <c r="A170" s="654" t="s">
        <v>48</v>
      </c>
      <c r="B170" s="653"/>
      <c r="C170" s="653" t="s">
        <v>47</v>
      </c>
      <c r="D170" s="268">
        <f>SUM(D82:D87)+SUM(D89:D94)</f>
        <v>167534.05387</v>
      </c>
      <c r="E170" s="268">
        <f>SUM(E82:E87)+SUM(E89:E94)</f>
        <v>176281.35399999999</v>
      </c>
      <c r="F170" s="268">
        <f>SUM(F82:F87)+SUM(F89:F94)</f>
        <v>160396.79401000001</v>
      </c>
      <c r="G170" s="268">
        <f>SUM(G82:G87)+SUM(G89:G94)</f>
        <v>170549.32699999999</v>
      </c>
    </row>
    <row r="171" spans="1:7">
      <c r="A171" s="654" t="s">
        <v>46</v>
      </c>
      <c r="B171" s="653"/>
      <c r="C171" s="653" t="s">
        <v>45</v>
      </c>
      <c r="D171" s="265">
        <f>SUM(D96:D102)+SUM(D104:D105)</f>
        <v>51669.570070000009</v>
      </c>
      <c r="E171" s="265">
        <f>SUM(E96:E102)+SUM(E104:E105)</f>
        <v>36347.199999999997</v>
      </c>
      <c r="F171" s="265">
        <f>SUM(F96:F102)+SUM(F104:F105)</f>
        <v>36249.107380000009</v>
      </c>
      <c r="G171" s="265">
        <f>SUM(G96:G102)+SUM(G104:G105)</f>
        <v>33135.061000000002</v>
      </c>
    </row>
    <row r="172" spans="1:7">
      <c r="A172" s="652" t="s">
        <v>44</v>
      </c>
      <c r="B172" s="651"/>
      <c r="C172" s="651" t="s">
        <v>43</v>
      </c>
      <c r="D172" s="262">
        <f>IF(D184=0,0,D170/D184)</f>
        <v>6.1304811853498467E-2</v>
      </c>
      <c r="E172" s="262">
        <f>IF(E184=0,0,E170/E184)</f>
        <v>6.4552136711220717E-2</v>
      </c>
      <c r="F172" s="262">
        <f>IF(F184=0,0,F170/F184)</f>
        <v>5.9199689415338548E-2</v>
      </c>
      <c r="G172" s="262">
        <f>IF(G184=0,0,G170/G184)</f>
        <v>6.2254207757064139E-2</v>
      </c>
    </row>
    <row r="173" spans="1:7">
      <c r="A173" s="678"/>
    </row>
    <row r="174" spans="1:7">
      <c r="A174" s="479" t="s">
        <v>42</v>
      </c>
      <c r="B174" s="477"/>
      <c r="C174" s="649"/>
      <c r="D174" s="260"/>
      <c r="E174" s="260"/>
      <c r="F174" s="260"/>
      <c r="G174" s="260"/>
    </row>
    <row r="175" spans="1:7" s="480" customFormat="1">
      <c r="A175" s="478" t="s">
        <v>41</v>
      </c>
      <c r="B175" s="477"/>
      <c r="C175" s="477" t="s">
        <v>259</v>
      </c>
      <c r="D175" s="481">
        <v>390151</v>
      </c>
      <c r="E175" s="481">
        <v>390151</v>
      </c>
      <c r="F175" s="481">
        <v>394671</v>
      </c>
      <c r="G175" s="481">
        <v>392806</v>
      </c>
    </row>
    <row r="176" spans="1:7">
      <c r="A176" s="479" t="s">
        <v>39</v>
      </c>
      <c r="B176" s="477"/>
      <c r="C176" s="477"/>
      <c r="D176" s="477"/>
      <c r="E176" s="477"/>
      <c r="F176" s="477"/>
      <c r="G176" s="477"/>
    </row>
    <row r="177" spans="1:7">
      <c r="A177" s="478" t="s">
        <v>38</v>
      </c>
      <c r="B177" s="477"/>
      <c r="C177" s="477" t="s">
        <v>37</v>
      </c>
      <c r="D177" s="475">
        <f>SUM(D22:D32)+SUM(D44:D53)+SUM(D65:D72)+D75</f>
        <v>2737496.9383199997</v>
      </c>
      <c r="E177" s="475">
        <f>SUM(E22:E32)+SUM(E44:E53)+SUM(E65:E72)+E75</f>
        <v>2721867.9808900002</v>
      </c>
      <c r="F177" s="475">
        <f>SUM(F22:F32)+SUM(F44:F53)+SUM(F65:F72)+F75</f>
        <v>2736402.4280100004</v>
      </c>
      <c r="G177" s="475">
        <f>SUM(G22:G32)+SUM(G44:G53)+SUM(G65:G72)+G75</f>
        <v>2706000.2862300002</v>
      </c>
    </row>
    <row r="178" spans="1:7">
      <c r="A178" s="478" t="s">
        <v>36</v>
      </c>
      <c r="B178" s="477"/>
      <c r="C178" s="477" t="s">
        <v>35</v>
      </c>
      <c r="D178" s="475">
        <f>D78-D17-D20-D59-D63-D64</f>
        <v>2732309.68254</v>
      </c>
      <c r="E178" s="475">
        <f>E78-E17-E20-E59-E63-E64</f>
        <v>2713896.2243799996</v>
      </c>
      <c r="F178" s="475">
        <f>F78-F17-F20-F59-F63-F64</f>
        <v>2723633.5483700004</v>
      </c>
      <c r="G178" s="475">
        <f>G78-G17-G20-G59-G63-G64</f>
        <v>2730255.6467300002</v>
      </c>
    </row>
    <row r="179" spans="1:7">
      <c r="A179" s="478"/>
      <c r="B179" s="477"/>
      <c r="C179" s="477" t="s">
        <v>34</v>
      </c>
      <c r="D179" s="475">
        <f>D178+D170</f>
        <v>2899843.7364099999</v>
      </c>
      <c r="E179" s="475">
        <f>E178+E170</f>
        <v>2890177.5783799994</v>
      </c>
      <c r="F179" s="475">
        <f>F178+F170</f>
        <v>2884030.3423800003</v>
      </c>
      <c r="G179" s="475">
        <f>G178+G170</f>
        <v>2900804.9737300002</v>
      </c>
    </row>
    <row r="180" spans="1:7">
      <c r="A180" s="478" t="s">
        <v>33</v>
      </c>
      <c r="B180" s="477"/>
      <c r="C180" s="477" t="s">
        <v>32</v>
      </c>
      <c r="D180" s="475">
        <f>D38-D44+D8+D9+D10+D16-D33</f>
        <v>160290.64968999996</v>
      </c>
      <c r="E180" s="475">
        <f>E38-E44+E8+E9+E10+E16-E33</f>
        <v>163639.68638</v>
      </c>
      <c r="F180" s="475">
        <f>F38-F44+F8+F9+F10+F16-F33</f>
        <v>164290.46129000001</v>
      </c>
      <c r="G180" s="475">
        <f>G38-G44+G8+G9+G10+G16-G33</f>
        <v>163037.6502</v>
      </c>
    </row>
    <row r="181" spans="1:7" ht="27.6" customHeight="1">
      <c r="A181" s="474" t="s">
        <v>31</v>
      </c>
      <c r="B181" s="472"/>
      <c r="C181" s="472" t="s">
        <v>30</v>
      </c>
      <c r="D181" s="249">
        <f>D22+D23+D24+D25+D26+D29+SUM(D44:D47)+SUM(D49:D53)-D54+D32-D33+SUM(D65:D70)+D72</f>
        <v>2698369.8576300004</v>
      </c>
      <c r="E181" s="249">
        <f>E22+E23+E24+E25+E26+E29+SUM(E44:E47)+SUM(E49:E53)-E54+E32-E33+SUM(E65:E70)+E72</f>
        <v>2704640.5258900002</v>
      </c>
      <c r="F181" s="249">
        <f>F22+F23+F24+F25+F26+F29+SUM(F44:F47)+SUM(F49:F53)-F54+F32-F33+SUM(F65:F70)+F72</f>
        <v>2709174.8252499998</v>
      </c>
      <c r="G181" s="249">
        <f>G22+G23+G24+G25+G26+G29+SUM(G44:G47)+SUM(G49:G53)-G54+G32-G33+SUM(G65:G70)+G72</f>
        <v>2686447.9242300005</v>
      </c>
    </row>
    <row r="182" spans="1:7">
      <c r="A182" s="473" t="s">
        <v>29</v>
      </c>
      <c r="B182" s="472"/>
      <c r="C182" s="472" t="s">
        <v>28</v>
      </c>
      <c r="D182" s="249">
        <f>D181+D171</f>
        <v>2750039.4277000003</v>
      </c>
      <c r="E182" s="249">
        <f>E181+E171</f>
        <v>2740987.7258900004</v>
      </c>
      <c r="F182" s="249">
        <f>F181+F171</f>
        <v>2745423.9326299997</v>
      </c>
      <c r="G182" s="249">
        <f>G181+G171</f>
        <v>2719582.9852300007</v>
      </c>
    </row>
    <row r="183" spans="1:7">
      <c r="A183" s="473" t="s">
        <v>27</v>
      </c>
      <c r="B183" s="472"/>
      <c r="C183" s="472" t="s">
        <v>26</v>
      </c>
      <c r="D183" s="249">
        <f>D4+D5-D7+D38+D39+D40+D41+D43+D13-D16+D57+D58+D60+D62</f>
        <v>2565270.2530799997</v>
      </c>
      <c r="E183" s="249">
        <f>E4+E5-E7+E38+E39+E40+E41+E43+E13-E16+E57+E58+E60+E62</f>
        <v>2554555.5009999997</v>
      </c>
      <c r="F183" s="249">
        <f>F4+F5-F7+F38+F39+F40+F41+F43+F13-F16+F57+F58+F60+F62</f>
        <v>2549022.72481</v>
      </c>
      <c r="G183" s="249">
        <f>G4+G5-G7+G38+G39+G40+G41+G43+G13-G16+G57+G58+G60+G62</f>
        <v>2569013.7185300002</v>
      </c>
    </row>
    <row r="184" spans="1:7">
      <c r="A184" s="473" t="s">
        <v>25</v>
      </c>
      <c r="B184" s="472"/>
      <c r="C184" s="472" t="s">
        <v>24</v>
      </c>
      <c r="D184" s="249">
        <f>D183+D170</f>
        <v>2732804.3069499996</v>
      </c>
      <c r="E184" s="249">
        <f>E183+E170</f>
        <v>2730836.8549999995</v>
      </c>
      <c r="F184" s="249">
        <f>F183+F170</f>
        <v>2709419.5188199999</v>
      </c>
      <c r="G184" s="249">
        <f>G183+G170</f>
        <v>2739563.0455300002</v>
      </c>
    </row>
    <row r="185" spans="1:7">
      <c r="A185" s="473"/>
      <c r="B185" s="472"/>
      <c r="C185" s="472" t="s">
        <v>23</v>
      </c>
      <c r="D185" s="249">
        <f t="shared" ref="D185:G186" si="0">D181-D183</f>
        <v>133099.60455000075</v>
      </c>
      <c r="E185" s="249">
        <f t="shared" si="0"/>
        <v>150085.02489000047</v>
      </c>
      <c r="F185" s="249">
        <f t="shared" si="0"/>
        <v>160152.10043999972</v>
      </c>
      <c r="G185" s="249">
        <f t="shared" si="0"/>
        <v>117434.20570000028</v>
      </c>
    </row>
    <row r="186" spans="1:7">
      <c r="A186" s="473"/>
      <c r="B186" s="472"/>
      <c r="C186" s="472" t="s">
        <v>22</v>
      </c>
      <c r="D186" s="249">
        <f t="shared" si="0"/>
        <v>17235.1207500007</v>
      </c>
      <c r="E186" s="249">
        <f t="shared" si="0"/>
        <v>10150.870890000835</v>
      </c>
      <c r="F186" s="249">
        <f t="shared" si="0"/>
        <v>36004.413809999824</v>
      </c>
      <c r="G186" s="249">
        <f t="shared" si="0"/>
        <v>-19980.060299999546</v>
      </c>
    </row>
  </sheetData>
  <sheetProtection selectLockedCells="1" sort="0" autoFilter="0" pivotTables="0"/>
  <mergeCells count="2">
    <mergeCell ref="A3:C3"/>
    <mergeCell ref="A81:C81"/>
  </mergeCells>
  <pageMargins left="0.23622047244094491" right="0.23622047244094491" top="0.74803149606299213" bottom="0.74803149606299213" header="0.31496062992125984" footer="0.31496062992125984"/>
  <pageSetup paperSize="9" orientation="landscape" r:id="rId1"/>
  <headerFooter alignWithMargins="0">
    <oddHeader>&amp;LFachgruppe für kantonale Finanzfragen (FkF)
Groupe d'études pour les finances cantonales
&amp;CKanton VD&amp;RZürich, 11.05.2015</oddHeader>
    <oddFooter>&amp;L&amp;F / &amp;A</oddFooter>
  </headerFooter>
  <rowBreaks count="2" manualBreakCount="2">
    <brk id="79" max="16383" man="1"/>
    <brk id="147" max="16383" man="1"/>
  </rowBreaks>
  <legacy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46">
    <tabColor rgb="FF00B050"/>
  </sheetPr>
  <dimension ref="A1:AJ186"/>
  <sheetViews>
    <sheetView zoomScaleNormal="100" workbookViewId="0">
      <selection activeCell="G10" sqref="G10"/>
    </sheetView>
  </sheetViews>
  <sheetFormatPr baseColWidth="10" defaultColWidth="11.42578125" defaultRowHeight="12.75"/>
  <cols>
    <col min="1" max="1" width="16.28515625" style="678" customWidth="1"/>
    <col min="2" max="2" width="3.7109375" style="470" customWidth="1"/>
    <col min="3" max="3" width="44.7109375" style="470" customWidth="1"/>
    <col min="4" max="16384" width="11.42578125" style="470"/>
  </cols>
  <sheetData>
    <row r="1" spans="1:36" s="642" customFormat="1" ht="18" customHeight="1">
      <c r="A1" s="787" t="s">
        <v>490</v>
      </c>
      <c r="B1" s="671" t="s">
        <v>493</v>
      </c>
      <c r="C1" s="671" t="s">
        <v>492</v>
      </c>
      <c r="D1" s="643" t="s">
        <v>487</v>
      </c>
      <c r="E1" s="644" t="s">
        <v>254</v>
      </c>
      <c r="F1" s="643" t="s">
        <v>487</v>
      </c>
      <c r="G1" s="644" t="s">
        <v>254</v>
      </c>
      <c r="H1" s="608"/>
      <c r="I1" s="608"/>
      <c r="J1" s="608"/>
      <c r="K1" s="608"/>
      <c r="L1" s="608"/>
      <c r="M1" s="608"/>
      <c r="N1" s="608"/>
      <c r="O1" s="608"/>
      <c r="P1" s="608"/>
      <c r="Q1" s="608"/>
      <c r="R1" s="608"/>
      <c r="S1" s="608"/>
      <c r="T1" s="608"/>
      <c r="U1" s="608"/>
      <c r="V1" s="608"/>
      <c r="W1" s="608"/>
      <c r="X1" s="608"/>
      <c r="Y1" s="608"/>
      <c r="Z1" s="608"/>
      <c r="AA1" s="608"/>
      <c r="AB1" s="608"/>
      <c r="AC1" s="608"/>
      <c r="AD1" s="608"/>
      <c r="AE1" s="608"/>
      <c r="AF1" s="608"/>
      <c r="AG1" s="608"/>
      <c r="AH1" s="608"/>
      <c r="AI1" s="608"/>
      <c r="AJ1" s="608"/>
    </row>
    <row r="2" spans="1:36" s="636" customFormat="1" ht="15" customHeight="1">
      <c r="A2" s="786"/>
      <c r="B2" s="640"/>
      <c r="C2" s="639" t="s">
        <v>486</v>
      </c>
      <c r="D2" s="637">
        <v>2013</v>
      </c>
      <c r="E2" s="638">
        <v>2014</v>
      </c>
      <c r="F2" s="637">
        <v>2014</v>
      </c>
      <c r="G2" s="638">
        <v>2015</v>
      </c>
    </row>
    <row r="3" spans="1:36" ht="15" customHeight="1">
      <c r="A3" s="949" t="s">
        <v>485</v>
      </c>
      <c r="B3" s="950"/>
      <c r="C3" s="950"/>
      <c r="D3" s="796" t="s">
        <v>491</v>
      </c>
      <c r="E3" s="635" t="s">
        <v>251</v>
      </c>
      <c r="F3" s="516"/>
      <c r="G3" s="757"/>
    </row>
    <row r="4" spans="1:36" s="480" customFormat="1" ht="12.75" customHeight="1">
      <c r="A4" s="785">
        <v>30</v>
      </c>
      <c r="B4" s="669"/>
      <c r="C4" s="632" t="s">
        <v>484</v>
      </c>
      <c r="D4" s="412">
        <v>2268880.0320243519</v>
      </c>
      <c r="E4" s="795">
        <v>2243540.23</v>
      </c>
      <c r="F4" s="411">
        <v>2237964.7647200003</v>
      </c>
      <c r="G4" s="453">
        <v>2330580.2544163507</v>
      </c>
    </row>
    <row r="5" spans="1:36" s="480" customFormat="1" ht="12.75" customHeight="1">
      <c r="A5" s="593">
        <v>31</v>
      </c>
      <c r="B5" s="587"/>
      <c r="C5" s="585" t="s">
        <v>483</v>
      </c>
      <c r="D5" s="318">
        <v>670535.23633547581</v>
      </c>
      <c r="E5" s="363">
        <v>612768.64099999995</v>
      </c>
      <c r="F5" s="317">
        <v>802014.01695000008</v>
      </c>
      <c r="G5" s="361">
        <v>571518.75000024831</v>
      </c>
    </row>
    <row r="6" spans="1:36" s="480" customFormat="1" ht="12.75" customHeight="1">
      <c r="A6" s="630" t="s">
        <v>482</v>
      </c>
      <c r="B6" s="586"/>
      <c r="C6" s="616" t="s">
        <v>481</v>
      </c>
      <c r="D6" s="323">
        <v>89315.166281949991</v>
      </c>
      <c r="E6" s="425">
        <v>81519.331999999995</v>
      </c>
      <c r="F6" s="322">
        <v>84130.19025</v>
      </c>
      <c r="G6" s="361">
        <v>70731.871000469997</v>
      </c>
    </row>
    <row r="7" spans="1:36" s="480" customFormat="1" ht="12.75" customHeight="1">
      <c r="A7" s="630" t="s">
        <v>480</v>
      </c>
      <c r="B7" s="586"/>
      <c r="C7" s="616" t="s">
        <v>479</v>
      </c>
      <c r="D7" s="323">
        <v>13315.549465079977</v>
      </c>
      <c r="E7" s="425">
        <v>35100.216</v>
      </c>
      <c r="F7" s="322">
        <v>17648.809870000005</v>
      </c>
      <c r="G7" s="361">
        <v>31773.137999521001</v>
      </c>
    </row>
    <row r="8" spans="1:36" s="480" customFormat="1" ht="12.75" customHeight="1">
      <c r="A8" s="593">
        <v>330</v>
      </c>
      <c r="B8" s="587"/>
      <c r="C8" s="585" t="s">
        <v>478</v>
      </c>
      <c r="D8" s="318">
        <v>352857.76842040004</v>
      </c>
      <c r="E8" s="369">
        <v>342766.85800000001</v>
      </c>
      <c r="F8" s="317">
        <v>354717.37714</v>
      </c>
      <c r="G8" s="361">
        <v>351593.61</v>
      </c>
    </row>
    <row r="9" spans="1:36" s="480" customFormat="1" ht="12.75" customHeight="1">
      <c r="A9" s="593">
        <v>332</v>
      </c>
      <c r="B9" s="587"/>
      <c r="C9" s="585" t="s">
        <v>477</v>
      </c>
      <c r="D9" s="318">
        <v>33581.471990000005</v>
      </c>
      <c r="E9" s="369">
        <v>38597.307000000001</v>
      </c>
      <c r="F9" s="317">
        <v>35789.080900000001</v>
      </c>
      <c r="G9" s="361">
        <v>38064.54</v>
      </c>
    </row>
    <row r="10" spans="1:36" s="480" customFormat="1" ht="12.75" customHeight="1">
      <c r="A10" s="593">
        <v>339</v>
      </c>
      <c r="B10" s="587"/>
      <c r="C10" s="585" t="s">
        <v>476</v>
      </c>
      <c r="D10" s="318">
        <v>0</v>
      </c>
      <c r="E10" s="369">
        <v>0</v>
      </c>
      <c r="F10" s="317">
        <v>0</v>
      </c>
      <c r="G10" s="361">
        <v>0</v>
      </c>
    </row>
    <row r="11" spans="1:36" s="771" customFormat="1" ht="28.15" customHeight="1">
      <c r="A11" s="597">
        <v>350</v>
      </c>
      <c r="B11" s="776"/>
      <c r="C11" s="589" t="s">
        <v>475</v>
      </c>
      <c r="D11" s="312">
        <v>0</v>
      </c>
      <c r="E11" s="756"/>
      <c r="F11" s="311">
        <v>0</v>
      </c>
      <c r="G11" s="361">
        <v>0</v>
      </c>
    </row>
    <row r="12" spans="1:36" s="579" customFormat="1" ht="25.5">
      <c r="A12" s="597">
        <v>351</v>
      </c>
      <c r="B12" s="596"/>
      <c r="C12" s="589" t="s">
        <v>474</v>
      </c>
      <c r="D12" s="451">
        <v>0</v>
      </c>
      <c r="E12" s="402"/>
      <c r="F12" s="450">
        <v>0</v>
      </c>
      <c r="G12" s="361">
        <v>0</v>
      </c>
    </row>
    <row r="13" spans="1:36" s="480" customFormat="1" ht="12.75" customHeight="1">
      <c r="A13" s="593">
        <v>36</v>
      </c>
      <c r="B13" s="587"/>
      <c r="C13" s="585" t="s">
        <v>473</v>
      </c>
      <c r="D13" s="323">
        <v>4149973.9842916438</v>
      </c>
      <c r="E13" s="369">
        <v>4431874.273</v>
      </c>
      <c r="F13" s="322">
        <v>4257811.0287699997</v>
      </c>
      <c r="G13" s="361">
        <v>4272419.8590000002</v>
      </c>
    </row>
    <row r="14" spans="1:36" s="480" customFormat="1" ht="12.75" customHeight="1">
      <c r="A14" s="629" t="s">
        <v>472</v>
      </c>
      <c r="B14" s="587"/>
      <c r="C14" s="627" t="s">
        <v>471</v>
      </c>
      <c r="D14" s="323">
        <v>1766351.5071592</v>
      </c>
      <c r="E14" s="369">
        <v>1773093.382</v>
      </c>
      <c r="F14" s="322">
        <v>1767410.93781</v>
      </c>
      <c r="G14" s="361">
        <v>1808112.977</v>
      </c>
    </row>
    <row r="15" spans="1:36" s="480" customFormat="1" ht="12.75" customHeight="1">
      <c r="A15" s="629" t="s">
        <v>470</v>
      </c>
      <c r="B15" s="587"/>
      <c r="C15" s="627" t="s">
        <v>469</v>
      </c>
      <c r="D15" s="323">
        <v>16385.271250000002</v>
      </c>
      <c r="E15" s="369">
        <v>16597.582999999999</v>
      </c>
      <c r="F15" s="322">
        <v>19341.418799999999</v>
      </c>
      <c r="G15" s="361">
        <v>16834.7</v>
      </c>
    </row>
    <row r="16" spans="1:36" s="626" customFormat="1" ht="26.25" customHeight="1">
      <c r="A16" s="629" t="s">
        <v>468</v>
      </c>
      <c r="B16" s="668"/>
      <c r="C16" s="627" t="s">
        <v>467</v>
      </c>
      <c r="D16" s="445">
        <v>71392.143770040013</v>
      </c>
      <c r="E16" s="794">
        <v>67969.202000000005</v>
      </c>
      <c r="F16" s="442">
        <v>78545.597590000005</v>
      </c>
      <c r="G16" s="442">
        <v>68288.429999999993</v>
      </c>
    </row>
    <row r="17" spans="1:7" s="622" customFormat="1">
      <c r="A17" s="593">
        <v>37</v>
      </c>
      <c r="B17" s="587"/>
      <c r="C17" s="585" t="s">
        <v>448</v>
      </c>
      <c r="D17" s="433">
        <v>268392.73997</v>
      </c>
      <c r="E17" s="432">
        <v>27701.15</v>
      </c>
      <c r="F17" s="431">
        <v>271594.59778999997</v>
      </c>
      <c r="G17" s="361">
        <v>27308.65</v>
      </c>
    </row>
    <row r="18" spans="1:7" s="622" customFormat="1">
      <c r="A18" s="617" t="s">
        <v>466</v>
      </c>
      <c r="B18" s="586"/>
      <c r="C18" s="616" t="s">
        <v>465</v>
      </c>
      <c r="D18" s="440">
        <v>243453.15581</v>
      </c>
      <c r="E18" s="432">
        <v>300</v>
      </c>
      <c r="F18" s="438">
        <v>245862.65005000003</v>
      </c>
      <c r="G18" s="361">
        <v>300</v>
      </c>
    </row>
    <row r="19" spans="1:7" s="622" customFormat="1">
      <c r="A19" s="617" t="s">
        <v>464</v>
      </c>
      <c r="B19" s="586"/>
      <c r="C19" s="616" t="s">
        <v>463</v>
      </c>
      <c r="D19" s="440">
        <v>0</v>
      </c>
      <c r="E19" s="432">
        <v>23378</v>
      </c>
      <c r="F19" s="438">
        <v>20340.689440000002</v>
      </c>
      <c r="G19" s="361">
        <v>23448</v>
      </c>
    </row>
    <row r="20" spans="1:7" s="480" customFormat="1" ht="12.75" customHeight="1">
      <c r="A20" s="783">
        <v>39</v>
      </c>
      <c r="B20" s="614"/>
      <c r="C20" s="583" t="s">
        <v>447</v>
      </c>
      <c r="D20" s="334">
        <v>17435.280970010001</v>
      </c>
      <c r="E20" s="373">
        <v>16452.89</v>
      </c>
      <c r="F20" s="333">
        <v>13590.064609999999</v>
      </c>
      <c r="G20" s="354">
        <v>15588.75</v>
      </c>
    </row>
    <row r="21" spans="1:7" ht="12.75" customHeight="1">
      <c r="A21" s="774"/>
      <c r="B21" s="578"/>
      <c r="C21" s="576" t="s">
        <v>462</v>
      </c>
      <c r="D21" s="380">
        <f>D4+D5+SUM(D8:D13)+D17</f>
        <v>7744221.2330318708</v>
      </c>
      <c r="E21" s="380">
        <f>E4+E5+SUM(E8:E13)+E17</f>
        <v>7697248.4590000007</v>
      </c>
      <c r="F21" s="380">
        <f>F4+F5+SUM(F8:F13)+F17</f>
        <v>7959890.8662700001</v>
      </c>
      <c r="G21" s="380">
        <f>G4+G5+SUM(G8:G13)+G17</f>
        <v>7591485.6634165999</v>
      </c>
    </row>
    <row r="22" spans="1:7" s="771" customFormat="1" ht="12.75" customHeight="1">
      <c r="A22" s="597" t="s">
        <v>226</v>
      </c>
      <c r="B22" s="776"/>
      <c r="C22" s="589" t="s">
        <v>461</v>
      </c>
      <c r="D22" s="312">
        <v>5171543.1625199998</v>
      </c>
      <c r="E22" s="756">
        <v>5380218.7129999995</v>
      </c>
      <c r="F22" s="311">
        <v>5405911.9391999999</v>
      </c>
      <c r="G22" s="310">
        <v>5322918.7129999995</v>
      </c>
    </row>
    <row r="23" spans="1:7" s="771" customFormat="1">
      <c r="A23" s="597" t="s">
        <v>224</v>
      </c>
      <c r="B23" s="776"/>
      <c r="C23" s="589" t="s">
        <v>460</v>
      </c>
      <c r="D23" s="312">
        <v>699677.69895999995</v>
      </c>
      <c r="E23" s="756">
        <v>698820</v>
      </c>
      <c r="F23" s="311">
        <v>738643.80544999987</v>
      </c>
      <c r="G23" s="310">
        <v>657820</v>
      </c>
    </row>
    <row r="24" spans="1:7" s="621" customFormat="1" ht="12.75" customHeight="1">
      <c r="A24" s="593">
        <v>41</v>
      </c>
      <c r="B24" s="587"/>
      <c r="C24" s="585" t="s">
        <v>459</v>
      </c>
      <c r="D24" s="318">
        <v>35318.348189999997</v>
      </c>
      <c r="E24" s="369">
        <v>86411.62</v>
      </c>
      <c r="F24" s="317">
        <v>31317.729849999992</v>
      </c>
      <c r="G24" s="316">
        <v>74228.744999999995</v>
      </c>
    </row>
    <row r="25" spans="1:7" s="480" customFormat="1" ht="12.75" customHeight="1">
      <c r="A25" s="732">
        <v>42</v>
      </c>
      <c r="B25" s="619"/>
      <c r="C25" s="585" t="s">
        <v>458</v>
      </c>
      <c r="D25" s="318">
        <v>336853.00587408274</v>
      </c>
      <c r="E25" s="369">
        <v>410187.78899999999</v>
      </c>
      <c r="F25" s="317">
        <v>392060.18346000003</v>
      </c>
      <c r="G25" s="316">
        <v>411016.18000001571</v>
      </c>
    </row>
    <row r="26" spans="1:7" s="618" customFormat="1" ht="12.75" customHeight="1">
      <c r="A26" s="597">
        <v>430</v>
      </c>
      <c r="B26" s="587"/>
      <c r="C26" s="585" t="s">
        <v>457</v>
      </c>
      <c r="D26" s="433">
        <v>51346.36299315701</v>
      </c>
      <c r="E26" s="432">
        <v>31351.859</v>
      </c>
      <c r="F26" s="431">
        <v>45420.754410000001</v>
      </c>
      <c r="G26" s="430">
        <v>50973.537000000135</v>
      </c>
    </row>
    <row r="27" spans="1:7" s="618" customFormat="1" ht="12.75" customHeight="1">
      <c r="A27" s="597">
        <v>431</v>
      </c>
      <c r="B27" s="587"/>
      <c r="C27" s="585" t="s">
        <v>456</v>
      </c>
      <c r="D27" s="433">
        <v>21945.980880000003</v>
      </c>
      <c r="E27" s="432">
        <v>23804.452000000001</v>
      </c>
      <c r="F27" s="431">
        <v>18904.41678</v>
      </c>
      <c r="G27" s="430">
        <v>25036.454000000002</v>
      </c>
    </row>
    <row r="28" spans="1:7" s="618" customFormat="1" ht="12.75" customHeight="1">
      <c r="A28" s="597">
        <v>432</v>
      </c>
      <c r="B28" s="587"/>
      <c r="C28" s="585" t="s">
        <v>455</v>
      </c>
      <c r="D28" s="433">
        <v>-20.064019999999999</v>
      </c>
      <c r="E28" s="432">
        <v>50</v>
      </c>
      <c r="F28" s="431">
        <v>208.47504999999998</v>
      </c>
      <c r="G28" s="430">
        <v>2.5</v>
      </c>
    </row>
    <row r="29" spans="1:7" s="618" customFormat="1" ht="12.75" customHeight="1">
      <c r="A29" s="597">
        <v>439</v>
      </c>
      <c r="B29" s="587"/>
      <c r="C29" s="585" t="s">
        <v>454</v>
      </c>
      <c r="D29" s="433">
        <v>168121.35020997998</v>
      </c>
      <c r="E29" s="432">
        <v>19807.921999999999</v>
      </c>
      <c r="F29" s="431">
        <v>47629.958019999998</v>
      </c>
      <c r="G29" s="430">
        <v>14019.422</v>
      </c>
    </row>
    <row r="30" spans="1:7" s="480" customFormat="1" ht="25.5">
      <c r="A30" s="597">
        <v>450</v>
      </c>
      <c r="B30" s="596"/>
      <c r="C30" s="589" t="s">
        <v>453</v>
      </c>
      <c r="D30" s="364">
        <v>3077.2597799999999</v>
      </c>
      <c r="E30" s="363">
        <v>3647.1350000000002</v>
      </c>
      <c r="F30" s="362">
        <v>2795.8222199999996</v>
      </c>
      <c r="G30" s="361">
        <v>3496.76</v>
      </c>
    </row>
    <row r="31" spans="1:7" s="579" customFormat="1" ht="25.5">
      <c r="A31" s="597">
        <v>451</v>
      </c>
      <c r="B31" s="596"/>
      <c r="C31" s="589" t="s">
        <v>452</v>
      </c>
      <c r="D31" s="312">
        <v>0</v>
      </c>
      <c r="E31" s="369">
        <v>0</v>
      </c>
      <c r="F31" s="311">
        <v>0</v>
      </c>
      <c r="G31" s="316">
        <v>0</v>
      </c>
    </row>
    <row r="32" spans="1:7" s="480" customFormat="1" ht="12.75" customHeight="1">
      <c r="A32" s="593">
        <v>46</v>
      </c>
      <c r="B32" s="587"/>
      <c r="C32" s="585" t="s">
        <v>451</v>
      </c>
      <c r="D32" s="318">
        <v>1043785.637533322</v>
      </c>
      <c r="E32" s="369">
        <v>1005507.085</v>
      </c>
      <c r="F32" s="317">
        <v>1022153.2495200002</v>
      </c>
      <c r="G32" s="316">
        <v>1019245.9529972</v>
      </c>
    </row>
    <row r="33" spans="1:7" s="626" customFormat="1" ht="25.5">
      <c r="A33" s="629" t="s">
        <v>450</v>
      </c>
      <c r="B33" s="775"/>
      <c r="C33" s="627" t="s">
        <v>449</v>
      </c>
      <c r="D33" s="446">
        <v>15807.015229999999</v>
      </c>
      <c r="E33" s="784">
        <v>16097.205</v>
      </c>
      <c r="F33" s="540">
        <v>17621.441870000002</v>
      </c>
      <c r="G33" s="743">
        <v>17452.349999999999</v>
      </c>
    </row>
    <row r="34" spans="1:7" s="480" customFormat="1" ht="15" customHeight="1">
      <c r="A34" s="593">
        <v>47</v>
      </c>
      <c r="B34" s="587"/>
      <c r="C34" s="585" t="s">
        <v>448</v>
      </c>
      <c r="D34" s="318">
        <v>268392.73997</v>
      </c>
      <c r="E34" s="369">
        <v>27701.15</v>
      </c>
      <c r="F34" s="317">
        <v>271594.59779000003</v>
      </c>
      <c r="G34" s="316">
        <v>27308.65</v>
      </c>
    </row>
    <row r="35" spans="1:7" s="480" customFormat="1" ht="15" customHeight="1">
      <c r="A35" s="783">
        <v>49</v>
      </c>
      <c r="B35" s="614"/>
      <c r="C35" s="583" t="s">
        <v>447</v>
      </c>
      <c r="D35" s="334">
        <v>17435.28097</v>
      </c>
      <c r="E35" s="373">
        <v>16452.89</v>
      </c>
      <c r="F35" s="333">
        <v>13590.064610000001</v>
      </c>
      <c r="G35" s="372">
        <v>15588.75</v>
      </c>
    </row>
    <row r="36" spans="1:7" ht="13.5" customHeight="1">
      <c r="A36" s="774"/>
      <c r="B36" s="606"/>
      <c r="C36" s="576" t="s">
        <v>446</v>
      </c>
      <c r="D36" s="380">
        <f>D22+D23+D24+D25+D26+D27+D28+D29+D30+D31+D32+D34</f>
        <v>7800041.4828905407</v>
      </c>
      <c r="E36" s="380">
        <f>E22+E23+E24+E25+E26+E27+E28+E29+E30+E31+E32+E34</f>
        <v>7687507.7249999996</v>
      </c>
      <c r="F36" s="380">
        <f>F22+F23+F24+F25+F26+F27+F28+F29+F30+F31+F32+F34</f>
        <v>7976640.9317499986</v>
      </c>
      <c r="G36" s="380">
        <f>G22+G23+G24+G25+G26+G27+G28+G29+G30+G31+G32+G34</f>
        <v>7606066.9139972162</v>
      </c>
    </row>
    <row r="37" spans="1:7" s="667" customFormat="1" ht="15" customHeight="1">
      <c r="A37" s="774"/>
      <c r="B37" s="606"/>
      <c r="C37" s="576" t="s">
        <v>445</v>
      </c>
      <c r="D37" s="380">
        <f>D36-D21</f>
        <v>55820.249858669937</v>
      </c>
      <c r="E37" s="380">
        <f>E36-E21</f>
        <v>-9740.7340000011027</v>
      </c>
      <c r="F37" s="380">
        <f>F36-F21</f>
        <v>16750.065479998477</v>
      </c>
      <c r="G37" s="380">
        <f>G36-G21</f>
        <v>14581.250580616295</v>
      </c>
    </row>
    <row r="38" spans="1:7" s="579" customFormat="1" ht="15" customHeight="1">
      <c r="A38" s="593">
        <v>340</v>
      </c>
      <c r="B38" s="587"/>
      <c r="C38" s="585" t="s">
        <v>444</v>
      </c>
      <c r="D38" s="318">
        <v>250331.19250999996</v>
      </c>
      <c r="E38" s="369">
        <v>258630.81</v>
      </c>
      <c r="F38" s="317">
        <v>250580.00101999997</v>
      </c>
      <c r="G38" s="316">
        <v>253476.41</v>
      </c>
    </row>
    <row r="39" spans="1:7" s="579" customFormat="1" ht="15" customHeight="1">
      <c r="A39" s="593">
        <v>341</v>
      </c>
      <c r="B39" s="587"/>
      <c r="C39" s="585" t="s">
        <v>443</v>
      </c>
      <c r="D39" s="318">
        <v>23935.22622</v>
      </c>
      <c r="E39" s="369">
        <v>0</v>
      </c>
      <c r="F39" s="317">
        <v>3863.8641400000088</v>
      </c>
      <c r="G39" s="316">
        <v>0</v>
      </c>
    </row>
    <row r="40" spans="1:7" s="626" customFormat="1" ht="15" customHeight="1">
      <c r="A40" s="597">
        <v>342</v>
      </c>
      <c r="B40" s="776"/>
      <c r="C40" s="589" t="s">
        <v>442</v>
      </c>
      <c r="D40" s="312">
        <v>894.55727999999999</v>
      </c>
      <c r="E40" s="756">
        <v>750</v>
      </c>
      <c r="F40" s="311">
        <v>620.00711000000001</v>
      </c>
      <c r="G40" s="310">
        <v>750</v>
      </c>
    </row>
    <row r="41" spans="1:7" s="579" customFormat="1" ht="15" customHeight="1">
      <c r="A41" s="593">
        <v>343</v>
      </c>
      <c r="B41" s="587"/>
      <c r="C41" s="585" t="s">
        <v>441</v>
      </c>
      <c r="D41" s="318"/>
      <c r="E41" s="369">
        <v>0</v>
      </c>
      <c r="F41" s="317">
        <v>0</v>
      </c>
      <c r="G41" s="316">
        <v>0</v>
      </c>
    </row>
    <row r="42" spans="1:7" s="626" customFormat="1" ht="15" customHeight="1">
      <c r="A42" s="597">
        <v>344</v>
      </c>
      <c r="B42" s="776"/>
      <c r="C42" s="589" t="s">
        <v>440</v>
      </c>
      <c r="D42" s="312"/>
      <c r="E42" s="756">
        <v>0</v>
      </c>
      <c r="F42" s="311">
        <v>0</v>
      </c>
      <c r="G42" s="310">
        <v>0</v>
      </c>
    </row>
    <row r="43" spans="1:7" s="579" customFormat="1" ht="15" customHeight="1">
      <c r="A43" s="593">
        <v>349</v>
      </c>
      <c r="B43" s="587"/>
      <c r="C43" s="585" t="s">
        <v>439</v>
      </c>
      <c r="D43" s="318">
        <v>46.479709999999997</v>
      </c>
      <c r="E43" s="369">
        <v>458.19</v>
      </c>
      <c r="F43" s="317">
        <v>526.90989999999999</v>
      </c>
      <c r="G43" s="316">
        <v>1038.886</v>
      </c>
    </row>
    <row r="44" spans="1:7" s="480" customFormat="1" ht="15" customHeight="1">
      <c r="A44" s="593">
        <v>440</v>
      </c>
      <c r="B44" s="587"/>
      <c r="C44" s="585" t="s">
        <v>438</v>
      </c>
      <c r="D44" s="318">
        <v>115001.19839000003</v>
      </c>
      <c r="E44" s="369">
        <v>143740.62400000001</v>
      </c>
      <c r="F44" s="317">
        <v>104653.81444</v>
      </c>
      <c r="G44" s="316">
        <v>123856.034</v>
      </c>
    </row>
    <row r="45" spans="1:7" s="771" customFormat="1" ht="15" customHeight="1">
      <c r="A45" s="597">
        <v>441</v>
      </c>
      <c r="B45" s="776"/>
      <c r="C45" s="589" t="s">
        <v>437</v>
      </c>
      <c r="D45" s="312">
        <v>10641.944020000001</v>
      </c>
      <c r="E45" s="781">
        <v>5060.1469999999999</v>
      </c>
      <c r="F45" s="311">
        <v>1379.62285</v>
      </c>
      <c r="G45" s="625">
        <v>6130.1469999999999</v>
      </c>
    </row>
    <row r="46" spans="1:7" s="771" customFormat="1" ht="15" customHeight="1">
      <c r="A46" s="597">
        <v>442</v>
      </c>
      <c r="B46" s="776"/>
      <c r="C46" s="589" t="s">
        <v>436</v>
      </c>
      <c r="D46" s="312">
        <v>6292.1302300000007</v>
      </c>
      <c r="E46" s="756">
        <v>6320</v>
      </c>
      <c r="F46" s="311">
        <v>4762.1335399999998</v>
      </c>
      <c r="G46" s="310">
        <v>5420</v>
      </c>
    </row>
    <row r="47" spans="1:7" s="480" customFormat="1" ht="15" customHeight="1">
      <c r="A47" s="593">
        <v>443</v>
      </c>
      <c r="B47" s="587"/>
      <c r="C47" s="585" t="s">
        <v>435</v>
      </c>
      <c r="D47" s="318">
        <v>0</v>
      </c>
      <c r="E47" s="782">
        <v>0</v>
      </c>
      <c r="F47" s="317">
        <v>0</v>
      </c>
      <c r="G47" s="594">
        <v>0</v>
      </c>
    </row>
    <row r="48" spans="1:7" s="480" customFormat="1" ht="15" customHeight="1">
      <c r="A48" s="593">
        <v>444</v>
      </c>
      <c r="B48" s="587"/>
      <c r="C48" s="585" t="s">
        <v>434</v>
      </c>
      <c r="D48" s="318">
        <v>200.87709000000001</v>
      </c>
      <c r="E48" s="782">
        <v>0</v>
      </c>
      <c r="F48" s="317">
        <v>0</v>
      </c>
      <c r="G48" s="594">
        <v>0</v>
      </c>
    </row>
    <row r="49" spans="1:7" s="480" customFormat="1" ht="15" customHeight="1">
      <c r="A49" s="593">
        <v>445</v>
      </c>
      <c r="B49" s="587"/>
      <c r="C49" s="585" t="s">
        <v>433</v>
      </c>
      <c r="D49" s="318">
        <v>65511.121269999996</v>
      </c>
      <c r="E49" s="369">
        <v>49478.275999999998</v>
      </c>
      <c r="F49" s="317">
        <v>64604.853200000005</v>
      </c>
      <c r="G49" s="316">
        <v>56988.989000000001</v>
      </c>
    </row>
    <row r="50" spans="1:7" s="480" customFormat="1" ht="15" customHeight="1">
      <c r="A50" s="593">
        <v>446</v>
      </c>
      <c r="B50" s="587"/>
      <c r="C50" s="585" t="s">
        <v>432</v>
      </c>
      <c r="D50" s="318">
        <v>3119.4387200000001</v>
      </c>
      <c r="E50" s="369">
        <v>3030.8</v>
      </c>
      <c r="F50" s="317">
        <v>3353.4663999999998</v>
      </c>
      <c r="G50" s="316">
        <v>3230.8</v>
      </c>
    </row>
    <row r="51" spans="1:7" s="771" customFormat="1" ht="15" customHeight="1">
      <c r="A51" s="597">
        <v>447</v>
      </c>
      <c r="B51" s="776"/>
      <c r="C51" s="589" t="s">
        <v>431</v>
      </c>
      <c r="D51" s="312">
        <v>63714.157779999994</v>
      </c>
      <c r="E51" s="756">
        <v>62191.646000000001</v>
      </c>
      <c r="F51" s="311">
        <v>66362.134559999991</v>
      </c>
      <c r="G51" s="310">
        <v>58817.603999999999</v>
      </c>
    </row>
    <row r="52" spans="1:7" s="480" customFormat="1" ht="15" customHeight="1">
      <c r="A52" s="593">
        <v>448</v>
      </c>
      <c r="B52" s="587"/>
      <c r="C52" s="585" t="s">
        <v>430</v>
      </c>
      <c r="D52" s="318">
        <v>0</v>
      </c>
      <c r="E52" s="782">
        <v>3</v>
      </c>
      <c r="F52" s="317">
        <v>0</v>
      </c>
      <c r="G52" s="594">
        <v>0</v>
      </c>
    </row>
    <row r="53" spans="1:7" s="771" customFormat="1" ht="15" customHeight="1">
      <c r="A53" s="597">
        <v>449</v>
      </c>
      <c r="B53" s="776"/>
      <c r="C53" s="589" t="s">
        <v>429</v>
      </c>
      <c r="D53" s="312">
        <v>0</v>
      </c>
      <c r="E53" s="781">
        <v>0</v>
      </c>
      <c r="F53" s="311">
        <v>0</v>
      </c>
      <c r="G53" s="625">
        <v>0</v>
      </c>
    </row>
    <row r="54" spans="1:7" s="579" customFormat="1" ht="13.5" customHeight="1">
      <c r="A54" s="607" t="s">
        <v>428</v>
      </c>
      <c r="B54" s="580"/>
      <c r="C54" s="580" t="s">
        <v>427</v>
      </c>
      <c r="D54" s="301">
        <v>0</v>
      </c>
      <c r="E54" s="780">
        <v>0</v>
      </c>
      <c r="F54" s="300">
        <v>0</v>
      </c>
      <c r="G54" s="779">
        <v>0</v>
      </c>
    </row>
    <row r="55" spans="1:7" ht="15" customHeight="1">
      <c r="A55" s="778"/>
      <c r="B55" s="606"/>
      <c r="C55" s="576" t="s">
        <v>426</v>
      </c>
      <c r="D55" s="380">
        <f>SUM(D44:D53)-SUM(D38:D43)</f>
        <v>-10726.588219999918</v>
      </c>
      <c r="E55" s="380">
        <f>SUM(E44:E53)-SUM(E38:E43)</f>
        <v>9985.4930000000168</v>
      </c>
      <c r="F55" s="380">
        <f>SUM(F44:F53)-SUM(F38:F43)</f>
        <v>-10474.757179999986</v>
      </c>
      <c r="G55" s="380">
        <f>SUM(G44:G53)-SUM(G38:G43)</f>
        <v>-821.72200000003795</v>
      </c>
    </row>
    <row r="56" spans="1:7" ht="14.25" customHeight="1">
      <c r="A56" s="778"/>
      <c r="B56" s="606"/>
      <c r="C56" s="576" t="s">
        <v>425</v>
      </c>
      <c r="D56" s="380">
        <f>D55+D37</f>
        <v>45093.661638670019</v>
      </c>
      <c r="E56" s="380">
        <f>E55+E37</f>
        <v>244.75899999891408</v>
      </c>
      <c r="F56" s="380">
        <f>F55+F37</f>
        <v>6275.3082999984908</v>
      </c>
      <c r="G56" s="380">
        <f>G55+G37</f>
        <v>13759.528580616257</v>
      </c>
    </row>
    <row r="57" spans="1:7" s="480" customFormat="1" ht="15.75" customHeight="1">
      <c r="A57" s="777">
        <v>380</v>
      </c>
      <c r="B57" s="604"/>
      <c r="C57" s="603" t="s">
        <v>424</v>
      </c>
      <c r="D57" s="735"/>
      <c r="E57" s="601">
        <v>0</v>
      </c>
      <c r="F57" s="735"/>
      <c r="G57" s="601">
        <v>0</v>
      </c>
    </row>
    <row r="58" spans="1:7" s="480" customFormat="1" ht="15.75" customHeight="1">
      <c r="A58" s="777">
        <v>381</v>
      </c>
      <c r="B58" s="604"/>
      <c r="C58" s="603" t="s">
        <v>423</v>
      </c>
      <c r="D58" s="735"/>
      <c r="E58" s="601">
        <v>0</v>
      </c>
      <c r="F58" s="735"/>
      <c r="G58" s="601">
        <v>0</v>
      </c>
    </row>
    <row r="59" spans="1:7" s="579" customFormat="1" ht="27.6" customHeight="1">
      <c r="A59" s="597">
        <v>383</v>
      </c>
      <c r="B59" s="596"/>
      <c r="C59" s="589" t="s">
        <v>422</v>
      </c>
      <c r="D59" s="343"/>
      <c r="E59" s="342">
        <v>0</v>
      </c>
      <c r="F59" s="343"/>
      <c r="G59" s="342">
        <v>0</v>
      </c>
    </row>
    <row r="60" spans="1:7" s="579" customFormat="1">
      <c r="A60" s="597">
        <v>3840</v>
      </c>
      <c r="B60" s="596"/>
      <c r="C60" s="589" t="s">
        <v>421</v>
      </c>
      <c r="D60" s="401"/>
      <c r="E60" s="400">
        <v>0</v>
      </c>
      <c r="F60" s="401"/>
      <c r="G60" s="400">
        <v>0</v>
      </c>
    </row>
    <row r="61" spans="1:7" s="579" customFormat="1" ht="26.45" customHeight="1">
      <c r="A61" s="597">
        <v>3841</v>
      </c>
      <c r="B61" s="596"/>
      <c r="C61" s="589" t="s">
        <v>420</v>
      </c>
      <c r="D61" s="401"/>
      <c r="E61" s="400">
        <v>0</v>
      </c>
      <c r="F61" s="401"/>
      <c r="G61" s="400">
        <v>0</v>
      </c>
    </row>
    <row r="62" spans="1:7" s="579" customFormat="1">
      <c r="A62" s="600">
        <v>386</v>
      </c>
      <c r="B62" s="599"/>
      <c r="C62" s="598" t="s">
        <v>419</v>
      </c>
      <c r="D62" s="401"/>
      <c r="E62" s="400">
        <v>0</v>
      </c>
      <c r="F62" s="401"/>
      <c r="G62" s="400">
        <v>0</v>
      </c>
    </row>
    <row r="63" spans="1:7" s="579" customFormat="1" ht="27.6" customHeight="1">
      <c r="A63" s="597">
        <v>387</v>
      </c>
      <c r="B63" s="596"/>
      <c r="C63" s="589" t="s">
        <v>418</v>
      </c>
      <c r="D63" s="401"/>
      <c r="E63" s="400">
        <v>0</v>
      </c>
      <c r="F63" s="401"/>
      <c r="G63" s="400">
        <v>0</v>
      </c>
    </row>
    <row r="64" spans="1:7" s="579" customFormat="1">
      <c r="A64" s="593">
        <v>389</v>
      </c>
      <c r="B64" s="592"/>
      <c r="C64" s="585" t="s">
        <v>417</v>
      </c>
      <c r="D64" s="317"/>
      <c r="E64" s="316">
        <v>0</v>
      </c>
      <c r="F64" s="317"/>
      <c r="G64" s="316">
        <v>0</v>
      </c>
    </row>
    <row r="65" spans="1:7" s="771" customFormat="1">
      <c r="A65" s="597" t="s">
        <v>181</v>
      </c>
      <c r="B65" s="776"/>
      <c r="C65" s="589" t="s">
        <v>416</v>
      </c>
      <c r="D65" s="311"/>
      <c r="E65" s="310">
        <v>0</v>
      </c>
      <c r="F65" s="311"/>
      <c r="G65" s="310">
        <v>0</v>
      </c>
    </row>
    <row r="66" spans="1:7" s="588" customFormat="1" ht="25.5">
      <c r="A66" s="597" t="s">
        <v>179</v>
      </c>
      <c r="B66" s="590"/>
      <c r="C66" s="589" t="s">
        <v>415</v>
      </c>
      <c r="D66" s="343"/>
      <c r="E66" s="342">
        <v>0</v>
      </c>
      <c r="F66" s="343"/>
      <c r="G66" s="342">
        <v>0</v>
      </c>
    </row>
    <row r="67" spans="1:7" s="480" customFormat="1">
      <c r="A67" s="597">
        <v>481</v>
      </c>
      <c r="B67" s="587"/>
      <c r="C67" s="585" t="s">
        <v>414</v>
      </c>
      <c r="D67" s="317"/>
      <c r="E67" s="316">
        <v>0</v>
      </c>
      <c r="F67" s="317"/>
      <c r="G67" s="316">
        <v>0</v>
      </c>
    </row>
    <row r="68" spans="1:7" s="480" customFormat="1">
      <c r="A68" s="597">
        <v>482</v>
      </c>
      <c r="B68" s="587"/>
      <c r="C68" s="585" t="s">
        <v>413</v>
      </c>
      <c r="D68" s="317"/>
      <c r="E68" s="316">
        <v>0</v>
      </c>
      <c r="F68" s="317"/>
      <c r="G68" s="316">
        <v>0</v>
      </c>
    </row>
    <row r="69" spans="1:7" s="480" customFormat="1">
      <c r="A69" s="597">
        <v>483</v>
      </c>
      <c r="B69" s="587"/>
      <c r="C69" s="585" t="s">
        <v>412</v>
      </c>
      <c r="D69" s="317"/>
      <c r="E69" s="316">
        <v>0</v>
      </c>
      <c r="F69" s="317"/>
      <c r="G69" s="316">
        <v>0</v>
      </c>
    </row>
    <row r="70" spans="1:7" s="480" customFormat="1">
      <c r="A70" s="597">
        <v>484</v>
      </c>
      <c r="B70" s="587"/>
      <c r="C70" s="585" t="s">
        <v>411</v>
      </c>
      <c r="D70" s="317"/>
      <c r="E70" s="316">
        <v>0</v>
      </c>
      <c r="F70" s="317"/>
      <c r="G70" s="316">
        <v>0</v>
      </c>
    </row>
    <row r="71" spans="1:7" s="771" customFormat="1" ht="25.5">
      <c r="A71" s="597">
        <v>485</v>
      </c>
      <c r="B71" s="776"/>
      <c r="C71" s="589" t="s">
        <v>410</v>
      </c>
      <c r="D71" s="311"/>
      <c r="E71" s="310">
        <v>0</v>
      </c>
      <c r="F71" s="311"/>
      <c r="G71" s="310">
        <v>0</v>
      </c>
    </row>
    <row r="72" spans="1:7" s="480" customFormat="1">
      <c r="A72" s="597">
        <v>486</v>
      </c>
      <c r="B72" s="587"/>
      <c r="C72" s="585" t="s">
        <v>409</v>
      </c>
      <c r="D72" s="317"/>
      <c r="E72" s="316">
        <v>0</v>
      </c>
      <c r="F72" s="317"/>
      <c r="G72" s="316">
        <v>0</v>
      </c>
    </row>
    <row r="73" spans="1:7" s="626" customFormat="1" ht="25.5">
      <c r="A73" s="597">
        <v>487</v>
      </c>
      <c r="B73" s="775"/>
      <c r="C73" s="589" t="s">
        <v>408</v>
      </c>
      <c r="D73" s="311"/>
      <c r="E73" s="310">
        <v>0</v>
      </c>
      <c r="F73" s="311"/>
      <c r="G73" s="310">
        <v>0</v>
      </c>
    </row>
    <row r="74" spans="1:7" s="579" customFormat="1" ht="15" customHeight="1">
      <c r="A74" s="597">
        <v>489</v>
      </c>
      <c r="B74" s="581"/>
      <c r="C74" s="583" t="s">
        <v>407</v>
      </c>
      <c r="D74" s="311"/>
      <c r="E74" s="310"/>
      <c r="F74" s="311"/>
      <c r="G74" s="310"/>
    </row>
    <row r="75" spans="1:7" s="579" customFormat="1">
      <c r="A75" s="582" t="s">
        <v>406</v>
      </c>
      <c r="B75" s="581"/>
      <c r="C75" s="580" t="s">
        <v>405</v>
      </c>
      <c r="D75" s="317"/>
      <c r="E75" s="316">
        <v>0</v>
      </c>
      <c r="F75" s="317"/>
      <c r="G75" s="316">
        <v>0</v>
      </c>
    </row>
    <row r="76" spans="1:7">
      <c r="A76" s="774"/>
      <c r="B76" s="578"/>
      <c r="C76" s="576" t="s">
        <v>404</v>
      </c>
      <c r="D76" s="380">
        <f>SUM(D65:D74)-SUM(D57:D64)</f>
        <v>0</v>
      </c>
      <c r="E76" s="380">
        <f>SUM(E65:E74)-SUM(E57:E64)</f>
        <v>0</v>
      </c>
      <c r="F76" s="380">
        <f>SUM(F65:F74)-SUM(F57:F64)</f>
        <v>0</v>
      </c>
      <c r="G76" s="380">
        <f>SUM(G65:G74)-SUM(G57:G64)</f>
        <v>0</v>
      </c>
    </row>
    <row r="77" spans="1:7">
      <c r="A77" s="773"/>
      <c r="B77" s="577"/>
      <c r="C77" s="576" t="s">
        <v>403</v>
      </c>
      <c r="D77" s="380">
        <f>D56+D76</f>
        <v>45093.661638670019</v>
      </c>
      <c r="E77" s="380">
        <f>E56+E76</f>
        <v>244.75899999891408</v>
      </c>
      <c r="F77" s="380">
        <f>F56+F76</f>
        <v>6275.3082999984908</v>
      </c>
      <c r="G77" s="380">
        <f>G56+G76</f>
        <v>13759.528580616257</v>
      </c>
    </row>
    <row r="78" spans="1:7">
      <c r="A78" s="772">
        <v>3</v>
      </c>
      <c r="B78" s="575"/>
      <c r="C78" s="574" t="s">
        <v>165</v>
      </c>
      <c r="D78" s="377">
        <f>D20+D21+SUM(D38:D43)+SUM(D57:D64)</f>
        <v>8036863.9697218807</v>
      </c>
      <c r="E78" s="377">
        <f>E20+E21+SUM(E38:E43)+SUM(E57:E64)</f>
        <v>7973540.3490000004</v>
      </c>
      <c r="F78" s="377">
        <f>F20+F21+SUM(F38:F43)+SUM(F57:F64)</f>
        <v>8229071.7130499994</v>
      </c>
      <c r="G78" s="377">
        <f>G20+G21+SUM(G38:G43)+SUM(G57:G64)</f>
        <v>7862339.7094165999</v>
      </c>
    </row>
    <row r="79" spans="1:7">
      <c r="A79" s="772">
        <v>4</v>
      </c>
      <c r="B79" s="575"/>
      <c r="C79" s="574" t="s">
        <v>164</v>
      </c>
      <c r="D79" s="377">
        <f>D35+D36+SUM(D44:D53)+SUM(D65:D74)</f>
        <v>8081957.6313605402</v>
      </c>
      <c r="E79" s="377">
        <f>E35+E36+SUM(E44:E53)+SUM(E65:E74)</f>
        <v>7973785.1079999991</v>
      </c>
      <c r="F79" s="377">
        <f>F35+F36+SUM(F44:F53)+SUM(F65:F74)</f>
        <v>8235347.0213499982</v>
      </c>
      <c r="G79" s="377">
        <f>G35+G36+SUM(G44:G53)+SUM(G65:G74)</f>
        <v>7876099.2379972162</v>
      </c>
    </row>
    <row r="80" spans="1:7">
      <c r="A80" s="762"/>
      <c r="B80" s="534"/>
      <c r="C80" s="533"/>
      <c r="D80" s="260"/>
      <c r="E80" s="260"/>
      <c r="F80" s="260"/>
      <c r="G80" s="260"/>
    </row>
    <row r="81" spans="1:7">
      <c r="A81" s="951" t="s">
        <v>402</v>
      </c>
      <c r="B81" s="952"/>
      <c r="C81" s="952"/>
      <c r="D81" s="376"/>
      <c r="E81" s="376"/>
      <c r="F81" s="376"/>
      <c r="G81" s="376"/>
    </row>
    <row r="82" spans="1:7" s="480" customFormat="1">
      <c r="A82" s="567">
        <v>50</v>
      </c>
      <c r="B82" s="565"/>
      <c r="C82" s="565" t="s">
        <v>401</v>
      </c>
      <c r="D82" s="318">
        <v>348252.13448000001</v>
      </c>
      <c r="E82" s="369">
        <v>394247.11599999998</v>
      </c>
      <c r="F82" s="317">
        <v>358094.72349</v>
      </c>
      <c r="G82" s="316">
        <v>439181.35600000003</v>
      </c>
    </row>
    <row r="83" spans="1:7" s="480" customFormat="1">
      <c r="A83" s="567">
        <v>51</v>
      </c>
      <c r="B83" s="565"/>
      <c r="C83" s="565" t="s">
        <v>400</v>
      </c>
      <c r="D83" s="318"/>
      <c r="E83" s="369"/>
      <c r="F83" s="317"/>
      <c r="G83" s="316">
        <v>0</v>
      </c>
    </row>
    <row r="84" spans="1:7" s="480" customFormat="1">
      <c r="A84" s="567">
        <v>52</v>
      </c>
      <c r="B84" s="565"/>
      <c r="C84" s="565" t="s">
        <v>399</v>
      </c>
      <c r="D84" s="318">
        <v>49352.579789999996</v>
      </c>
      <c r="E84" s="369">
        <v>50733.720999999998</v>
      </c>
      <c r="F84" s="317">
        <v>39685.623849999996</v>
      </c>
      <c r="G84" s="316">
        <v>25282.9</v>
      </c>
    </row>
    <row r="85" spans="1:7" s="480" customFormat="1">
      <c r="A85" s="571">
        <v>54</v>
      </c>
      <c r="B85" s="570"/>
      <c r="C85" s="570" t="s">
        <v>363</v>
      </c>
      <c r="D85" s="323">
        <v>98659.494010000009</v>
      </c>
      <c r="E85" s="369">
        <v>111400</v>
      </c>
      <c r="F85" s="322">
        <v>122920.01319999999</v>
      </c>
      <c r="G85" s="316">
        <v>174400</v>
      </c>
    </row>
    <row r="86" spans="1:7" s="480" customFormat="1">
      <c r="A86" s="571">
        <v>55</v>
      </c>
      <c r="B86" s="570"/>
      <c r="C86" s="570" t="s">
        <v>398</v>
      </c>
      <c r="D86" s="323">
        <v>33676.063999999998</v>
      </c>
      <c r="E86" s="369">
        <v>40277</v>
      </c>
      <c r="F86" s="322">
        <v>35591.313000000002</v>
      </c>
      <c r="G86" s="316">
        <v>25000</v>
      </c>
    </row>
    <row r="87" spans="1:7" s="480" customFormat="1">
      <c r="A87" s="571">
        <v>56</v>
      </c>
      <c r="B87" s="570"/>
      <c r="C87" s="570" t="s">
        <v>397</v>
      </c>
      <c r="D87" s="323">
        <v>136253.16918</v>
      </c>
      <c r="E87" s="369">
        <v>118497.5</v>
      </c>
      <c r="F87" s="322">
        <v>79161.769010000004</v>
      </c>
      <c r="G87" s="316">
        <v>138387.9</v>
      </c>
    </row>
    <row r="88" spans="1:7" s="480" customFormat="1">
      <c r="A88" s="567">
        <v>57</v>
      </c>
      <c r="B88" s="565"/>
      <c r="C88" s="565" t="s">
        <v>382</v>
      </c>
      <c r="D88" s="318"/>
      <c r="E88" s="369"/>
      <c r="F88" s="317"/>
      <c r="G88" s="316">
        <v>0</v>
      </c>
    </row>
    <row r="89" spans="1:7" s="771" customFormat="1" ht="25.5">
      <c r="A89" s="566">
        <v>580</v>
      </c>
      <c r="B89" s="564"/>
      <c r="C89" s="564" t="s">
        <v>396</v>
      </c>
      <c r="D89" s="312"/>
      <c r="E89" s="756"/>
      <c r="F89" s="311"/>
      <c r="G89" s="310">
        <v>0</v>
      </c>
    </row>
    <row r="90" spans="1:7" s="771" customFormat="1" ht="25.5">
      <c r="A90" s="566">
        <v>582</v>
      </c>
      <c r="B90" s="564"/>
      <c r="C90" s="564" t="s">
        <v>395</v>
      </c>
      <c r="D90" s="312"/>
      <c r="E90" s="756"/>
      <c r="F90" s="311"/>
      <c r="G90" s="310">
        <v>0</v>
      </c>
    </row>
    <row r="91" spans="1:7" s="480" customFormat="1">
      <c r="A91" s="567">
        <v>584</v>
      </c>
      <c r="B91" s="565"/>
      <c r="C91" s="565" t="s">
        <v>394</v>
      </c>
      <c r="D91" s="318"/>
      <c r="E91" s="369"/>
      <c r="F91" s="317"/>
      <c r="G91" s="316">
        <v>0</v>
      </c>
    </row>
    <row r="92" spans="1:7" s="771" customFormat="1" ht="25.5">
      <c r="A92" s="566">
        <v>585</v>
      </c>
      <c r="B92" s="564"/>
      <c r="C92" s="564" t="s">
        <v>393</v>
      </c>
      <c r="D92" s="312"/>
      <c r="E92" s="756"/>
      <c r="F92" s="311"/>
      <c r="G92" s="310">
        <v>0</v>
      </c>
    </row>
    <row r="93" spans="1:7" s="480" customFormat="1">
      <c r="A93" s="567">
        <v>586</v>
      </c>
      <c r="B93" s="565"/>
      <c r="C93" s="565" t="s">
        <v>392</v>
      </c>
      <c r="D93" s="318"/>
      <c r="E93" s="369"/>
      <c r="F93" s="317"/>
      <c r="G93" s="316">
        <v>0</v>
      </c>
    </row>
    <row r="94" spans="1:7" s="480" customFormat="1">
      <c r="A94" s="568">
        <v>589</v>
      </c>
      <c r="B94" s="561"/>
      <c r="C94" s="561" t="s">
        <v>391</v>
      </c>
      <c r="D94" s="334"/>
      <c r="E94" s="373"/>
      <c r="F94" s="333"/>
      <c r="G94" s="372">
        <v>0</v>
      </c>
    </row>
    <row r="95" spans="1:7">
      <c r="A95" s="557">
        <v>5</v>
      </c>
      <c r="B95" s="555"/>
      <c r="C95" s="555" t="s">
        <v>390</v>
      </c>
      <c r="D95" s="348">
        <f>SUM(D82:D94)</f>
        <v>666193.44146</v>
      </c>
      <c r="E95" s="348">
        <f>SUM(E82:E94)</f>
        <v>715155.33700000006</v>
      </c>
      <c r="F95" s="348">
        <f>SUM(F82:F94)</f>
        <v>635453.44255000004</v>
      </c>
      <c r="G95" s="348">
        <f>SUM(G82:G94)</f>
        <v>802252.15600000008</v>
      </c>
    </row>
    <row r="96" spans="1:7" s="771" customFormat="1" ht="25.5">
      <c r="A96" s="566">
        <v>60</v>
      </c>
      <c r="B96" s="564"/>
      <c r="C96" s="564" t="s">
        <v>389</v>
      </c>
      <c r="D96" s="312">
        <v>129170.93615000001</v>
      </c>
      <c r="E96" s="756">
        <v>22000</v>
      </c>
      <c r="F96" s="311">
        <v>26531.24121</v>
      </c>
      <c r="G96" s="310">
        <v>22000</v>
      </c>
    </row>
    <row r="97" spans="1:7" s="771" customFormat="1" ht="25.5">
      <c r="A97" s="566">
        <v>61</v>
      </c>
      <c r="B97" s="564"/>
      <c r="C97" s="564" t="s">
        <v>388</v>
      </c>
      <c r="D97" s="312"/>
      <c r="E97" s="756"/>
      <c r="F97" s="311"/>
      <c r="G97" s="310"/>
    </row>
    <row r="98" spans="1:7" s="480" customFormat="1">
      <c r="A98" s="567">
        <v>62</v>
      </c>
      <c r="B98" s="565"/>
      <c r="C98" s="565" t="s">
        <v>387</v>
      </c>
      <c r="D98" s="318"/>
      <c r="E98" s="369"/>
      <c r="F98" s="317"/>
      <c r="G98" s="316"/>
    </row>
    <row r="99" spans="1:7" s="480" customFormat="1">
      <c r="A99" s="567">
        <v>63</v>
      </c>
      <c r="B99" s="565"/>
      <c r="C99" s="565" t="s">
        <v>386</v>
      </c>
      <c r="D99" s="318">
        <v>45373.289149999997</v>
      </c>
      <c r="E99" s="369">
        <v>43832.5</v>
      </c>
      <c r="F99" s="317">
        <v>51405.124429999996</v>
      </c>
      <c r="G99" s="316">
        <v>40984</v>
      </c>
    </row>
    <row r="100" spans="1:7" s="480" customFormat="1">
      <c r="A100" s="567">
        <v>64</v>
      </c>
      <c r="B100" s="565"/>
      <c r="C100" s="565" t="s">
        <v>385</v>
      </c>
      <c r="D100" s="318">
        <v>2414</v>
      </c>
      <c r="E100" s="369">
        <v>3477</v>
      </c>
      <c r="F100" s="317">
        <v>1511.5247899999999</v>
      </c>
      <c r="G100" s="316">
        <v>3562</v>
      </c>
    </row>
    <row r="101" spans="1:7" s="480" customFormat="1">
      <c r="A101" s="567">
        <v>65</v>
      </c>
      <c r="B101" s="565"/>
      <c r="C101" s="565" t="s">
        <v>384</v>
      </c>
      <c r="D101" s="318"/>
      <c r="E101" s="369"/>
      <c r="F101" s="317">
        <v>6</v>
      </c>
      <c r="G101" s="316"/>
    </row>
    <row r="102" spans="1:7" s="771" customFormat="1">
      <c r="A102" s="566">
        <v>66</v>
      </c>
      <c r="B102" s="564"/>
      <c r="C102" s="564" t="s">
        <v>383</v>
      </c>
      <c r="D102" s="312"/>
      <c r="E102" s="756"/>
      <c r="F102" s="311"/>
      <c r="G102" s="310"/>
    </row>
    <row r="103" spans="1:7" s="480" customFormat="1">
      <c r="A103" s="567">
        <v>67</v>
      </c>
      <c r="B103" s="565"/>
      <c r="C103" s="565" t="s">
        <v>382</v>
      </c>
      <c r="D103" s="318"/>
      <c r="E103" s="363"/>
      <c r="F103" s="317"/>
      <c r="G103" s="361"/>
    </row>
    <row r="104" spans="1:7" s="480" customFormat="1" ht="38.25">
      <c r="A104" s="566" t="s">
        <v>142</v>
      </c>
      <c r="B104" s="565"/>
      <c r="C104" s="564" t="s">
        <v>381</v>
      </c>
      <c r="D104" s="318"/>
      <c r="E104" s="369"/>
      <c r="F104" s="317"/>
      <c r="G104" s="316"/>
    </row>
    <row r="105" spans="1:7" s="480" customFormat="1" ht="56.45" customHeight="1">
      <c r="A105" s="562" t="s">
        <v>380</v>
      </c>
      <c r="B105" s="561"/>
      <c r="C105" s="560" t="s">
        <v>379</v>
      </c>
      <c r="D105" s="334"/>
      <c r="E105" s="373"/>
      <c r="F105" s="333"/>
      <c r="G105" s="372"/>
    </row>
    <row r="106" spans="1:7">
      <c r="A106" s="557">
        <v>6</v>
      </c>
      <c r="B106" s="555"/>
      <c r="C106" s="555" t="s">
        <v>378</v>
      </c>
      <c r="D106" s="348">
        <f>SUM(D96:D105)</f>
        <v>176958.22529999999</v>
      </c>
      <c r="E106" s="348">
        <f>SUM(E96:E105)</f>
        <v>69309.5</v>
      </c>
      <c r="F106" s="348">
        <f>SUM(F96:F105)</f>
        <v>79453.890429999999</v>
      </c>
      <c r="G106" s="348">
        <f>SUM(G96:G105)</f>
        <v>66546</v>
      </c>
    </row>
    <row r="107" spans="1:7">
      <c r="A107" s="770" t="s">
        <v>137</v>
      </c>
      <c r="B107" s="556"/>
      <c r="C107" s="555" t="s">
        <v>4</v>
      </c>
      <c r="D107" s="348">
        <f>(D95-D88)-(D106-D103)</f>
        <v>489235.21616000001</v>
      </c>
      <c r="E107" s="348">
        <f>(E95-E88)-(E106-E103)</f>
        <v>645845.83700000006</v>
      </c>
      <c r="F107" s="348">
        <f>(F95-F88)-(F106-F103)</f>
        <v>555999.55212000001</v>
      </c>
      <c r="G107" s="348">
        <f>(G95-G88)-(G106-G103)</f>
        <v>735706.15600000008</v>
      </c>
    </row>
    <row r="108" spans="1:7">
      <c r="A108" s="769" t="s">
        <v>136</v>
      </c>
      <c r="B108" s="554"/>
      <c r="C108" s="553" t="s">
        <v>377</v>
      </c>
      <c r="D108" s="348">
        <f>D107-D85-D86+D100+D101</f>
        <v>359313.65814999997</v>
      </c>
      <c r="E108" s="348">
        <f>E107-E85-E86+E100+E101</f>
        <v>497645.83700000006</v>
      </c>
      <c r="F108" s="348">
        <f>F107-F85-F86+F100+F101</f>
        <v>399005.75070999999</v>
      </c>
      <c r="G108" s="348">
        <f>G107-G85-G86+G100+G101</f>
        <v>539868.15600000008</v>
      </c>
    </row>
    <row r="109" spans="1:7">
      <c r="A109" s="762"/>
      <c r="B109" s="534"/>
      <c r="C109" s="533"/>
      <c r="D109" s="260"/>
      <c r="E109" s="260"/>
      <c r="F109" s="260"/>
      <c r="G109" s="260"/>
    </row>
    <row r="110" spans="1:7" s="512" customFormat="1">
      <c r="A110" s="768" t="s">
        <v>376</v>
      </c>
      <c r="B110" s="551"/>
      <c r="C110" s="550"/>
      <c r="D110" s="260"/>
      <c r="E110" s="260"/>
      <c r="F110" s="260"/>
      <c r="G110" s="260"/>
    </row>
    <row r="111" spans="1:7" s="516" customFormat="1">
      <c r="A111" s="761">
        <v>10</v>
      </c>
      <c r="B111" s="531"/>
      <c r="C111" s="531" t="s">
        <v>375</v>
      </c>
      <c r="D111" s="327">
        <f>D112+D117</f>
        <v>4181731.6369400006</v>
      </c>
      <c r="E111" s="326">
        <f>E112+E117</f>
        <v>0</v>
      </c>
      <c r="F111" s="327">
        <f>F112+F117</f>
        <v>4901365.0252099894</v>
      </c>
      <c r="G111" s="326">
        <f>G112+G117</f>
        <v>0</v>
      </c>
    </row>
    <row r="112" spans="1:7" s="516" customFormat="1">
      <c r="A112" s="539" t="s">
        <v>132</v>
      </c>
      <c r="B112" s="519"/>
      <c r="C112" s="519" t="s">
        <v>374</v>
      </c>
      <c r="D112" s="327">
        <f>D113+D114+D115+D116</f>
        <v>2898011.6199100004</v>
      </c>
      <c r="E112" s="326">
        <f>E113+E114+E115+E116</f>
        <v>0</v>
      </c>
      <c r="F112" s="327">
        <f>F113+F114+F115+F116</f>
        <v>3631809.3496699897</v>
      </c>
      <c r="G112" s="326">
        <f>G113+G114+G115+G116</f>
        <v>0</v>
      </c>
    </row>
    <row r="113" spans="1:7" s="516" customFormat="1">
      <c r="A113" s="537" t="s">
        <v>130</v>
      </c>
      <c r="B113" s="526"/>
      <c r="C113" s="526" t="s">
        <v>373</v>
      </c>
      <c r="D113" s="318">
        <v>1119458.2912500005</v>
      </c>
      <c r="E113" s="369"/>
      <c r="F113" s="793">
        <v>1094903.1241399997</v>
      </c>
      <c r="G113" s="316"/>
    </row>
    <row r="114" spans="1:7" s="546" customFormat="1" ht="15" customHeight="1">
      <c r="A114" s="524">
        <v>102</v>
      </c>
      <c r="B114" s="665"/>
      <c r="C114" s="665" t="s">
        <v>372</v>
      </c>
      <c r="D114" s="344">
        <v>16438.964670000001</v>
      </c>
      <c r="E114" s="394"/>
      <c r="F114" s="343">
        <v>377003.30969000002</v>
      </c>
      <c r="G114" s="342"/>
    </row>
    <row r="115" spans="1:7" s="516" customFormat="1">
      <c r="A115" s="537">
        <v>104</v>
      </c>
      <c r="B115" s="526"/>
      <c r="C115" s="526" t="s">
        <v>371</v>
      </c>
      <c r="D115" s="318">
        <v>1747746.10296</v>
      </c>
      <c r="E115" s="369"/>
      <c r="F115" s="317">
        <v>2144441.6904299902</v>
      </c>
      <c r="G115" s="316"/>
    </row>
    <row r="116" spans="1:7" s="516" customFormat="1">
      <c r="A116" s="537">
        <v>106</v>
      </c>
      <c r="B116" s="526"/>
      <c r="C116" s="526" t="s">
        <v>370</v>
      </c>
      <c r="D116" s="318">
        <v>14368.26103</v>
      </c>
      <c r="E116" s="369"/>
      <c r="F116" s="317">
        <v>15461.225410000001</v>
      </c>
      <c r="G116" s="316"/>
    </row>
    <row r="117" spans="1:7" s="516" customFormat="1">
      <c r="A117" s="539" t="s">
        <v>125</v>
      </c>
      <c r="B117" s="519"/>
      <c r="C117" s="519" t="s">
        <v>369</v>
      </c>
      <c r="D117" s="327">
        <f>D118+D119+D120</f>
        <v>1283720.01703</v>
      </c>
      <c r="E117" s="326">
        <f>E118+E119+E120</f>
        <v>0</v>
      </c>
      <c r="F117" s="327">
        <f>F118+F119+F120</f>
        <v>1269555.67554</v>
      </c>
      <c r="G117" s="326">
        <f>G118+G119+G120</f>
        <v>0</v>
      </c>
    </row>
    <row r="118" spans="1:7" s="516" customFormat="1">
      <c r="A118" s="537">
        <v>107</v>
      </c>
      <c r="B118" s="526"/>
      <c r="C118" s="526" t="s">
        <v>368</v>
      </c>
      <c r="D118" s="318">
        <v>674225.38101999997</v>
      </c>
      <c r="E118" s="369"/>
      <c r="F118" s="317">
        <v>660060.6701799999</v>
      </c>
      <c r="G118" s="316"/>
    </row>
    <row r="119" spans="1:7" s="516" customFormat="1">
      <c r="A119" s="537">
        <v>108</v>
      </c>
      <c r="B119" s="526"/>
      <c r="C119" s="526" t="s">
        <v>367</v>
      </c>
      <c r="D119" s="318">
        <v>609494.63601000002</v>
      </c>
      <c r="E119" s="369"/>
      <c r="F119" s="317">
        <v>609495.00536000007</v>
      </c>
      <c r="G119" s="316"/>
    </row>
    <row r="120" spans="1:7" s="538" customFormat="1" ht="25.5">
      <c r="A120" s="524">
        <v>109</v>
      </c>
      <c r="B120" s="523"/>
      <c r="C120" s="523" t="s">
        <v>366</v>
      </c>
      <c r="D120" s="312">
        <v>0</v>
      </c>
      <c r="E120" s="756"/>
      <c r="F120" s="311">
        <v>0</v>
      </c>
      <c r="G120" s="310"/>
    </row>
    <row r="121" spans="1:7" s="516" customFormat="1">
      <c r="A121" s="539">
        <v>14</v>
      </c>
      <c r="B121" s="519"/>
      <c r="C121" s="519" t="s">
        <v>365</v>
      </c>
      <c r="D121" s="327">
        <f>SUM(D122:D130)</f>
        <v>15132805.450219996</v>
      </c>
      <c r="E121" s="327">
        <f>SUM(E122:E130)</f>
        <v>0</v>
      </c>
      <c r="F121" s="327">
        <f>SUM(F122:F130)</f>
        <v>15286614.59606</v>
      </c>
      <c r="G121" s="327">
        <f>SUM(G122:G130)</f>
        <v>0</v>
      </c>
    </row>
    <row r="122" spans="1:7" s="516" customFormat="1">
      <c r="A122" s="537" t="s">
        <v>119</v>
      </c>
      <c r="B122" s="526"/>
      <c r="C122" s="526" t="s">
        <v>364</v>
      </c>
      <c r="D122" s="318">
        <v>13168867.100209998</v>
      </c>
      <c r="E122" s="369"/>
      <c r="F122" s="317">
        <v>13174962.24313</v>
      </c>
      <c r="G122" s="316"/>
    </row>
    <row r="123" spans="1:7" s="516" customFormat="1">
      <c r="A123" s="537">
        <v>144</v>
      </c>
      <c r="B123" s="526"/>
      <c r="C123" s="526" t="s">
        <v>363</v>
      </c>
      <c r="D123" s="318">
        <v>233906.65238999997</v>
      </c>
      <c r="E123" s="369"/>
      <c r="F123" s="317">
        <v>353135.17661000002</v>
      </c>
      <c r="G123" s="316"/>
    </row>
    <row r="124" spans="1:7" s="516" customFormat="1">
      <c r="A124" s="537">
        <v>145</v>
      </c>
      <c r="B124" s="526"/>
      <c r="C124" s="526" t="s">
        <v>362</v>
      </c>
      <c r="D124" s="318">
        <v>930764.22492999991</v>
      </c>
      <c r="E124" s="789"/>
      <c r="F124" s="317">
        <v>955850.58533000003</v>
      </c>
      <c r="G124" s="304"/>
    </row>
    <row r="125" spans="1:7" s="516" customFormat="1">
      <c r="A125" s="537">
        <v>146</v>
      </c>
      <c r="B125" s="526"/>
      <c r="C125" s="526" t="s">
        <v>361</v>
      </c>
      <c r="D125" s="318">
        <v>799267.47269000008</v>
      </c>
      <c r="E125" s="789"/>
      <c r="F125" s="317">
        <v>802666.59099000006</v>
      </c>
      <c r="G125" s="304"/>
    </row>
    <row r="126" spans="1:7" s="538" customFormat="1" ht="29.45" customHeight="1">
      <c r="A126" s="524" t="s">
        <v>114</v>
      </c>
      <c r="B126" s="523"/>
      <c r="C126" s="523" t="s">
        <v>360</v>
      </c>
      <c r="D126" s="312">
        <v>0</v>
      </c>
      <c r="E126" s="790"/>
      <c r="F126" s="311">
        <v>0</v>
      </c>
      <c r="G126" s="339"/>
    </row>
    <row r="127" spans="1:7" s="516" customFormat="1">
      <c r="A127" s="537">
        <v>1484</v>
      </c>
      <c r="B127" s="526"/>
      <c r="C127" s="526" t="s">
        <v>359</v>
      </c>
      <c r="D127" s="318">
        <v>0</v>
      </c>
      <c r="E127" s="789"/>
      <c r="F127" s="317">
        <v>0</v>
      </c>
      <c r="G127" s="304"/>
    </row>
    <row r="128" spans="1:7" s="538" customFormat="1">
      <c r="A128" s="524">
        <v>1485</v>
      </c>
      <c r="B128" s="523"/>
      <c r="C128" s="523" t="s">
        <v>358</v>
      </c>
      <c r="D128" s="312">
        <v>0</v>
      </c>
      <c r="E128" s="790"/>
      <c r="F128" s="311">
        <v>0</v>
      </c>
      <c r="G128" s="339"/>
    </row>
    <row r="129" spans="1:7" s="538" customFormat="1" ht="25.5">
      <c r="A129" s="524">
        <v>1486</v>
      </c>
      <c r="B129" s="523"/>
      <c r="C129" s="523" t="s">
        <v>357</v>
      </c>
      <c r="D129" s="312">
        <v>0</v>
      </c>
      <c r="E129" s="790"/>
      <c r="F129" s="311">
        <v>0</v>
      </c>
      <c r="G129" s="339"/>
    </row>
    <row r="130" spans="1:7" s="538" customFormat="1">
      <c r="A130" s="767">
        <v>1489</v>
      </c>
      <c r="B130" s="766"/>
      <c r="C130" s="766" t="s">
        <v>356</v>
      </c>
      <c r="D130" s="765">
        <v>0</v>
      </c>
      <c r="E130" s="792"/>
      <c r="F130" s="764">
        <v>0</v>
      </c>
      <c r="G130" s="763"/>
    </row>
    <row r="131" spans="1:7" s="512" customFormat="1">
      <c r="A131" s="760">
        <v>1</v>
      </c>
      <c r="B131" s="514"/>
      <c r="C131" s="515" t="s">
        <v>355</v>
      </c>
      <c r="D131" s="295">
        <f>D111+D121</f>
        <v>19314537.087159999</v>
      </c>
      <c r="E131" s="295">
        <f>E111+E121</f>
        <v>0</v>
      </c>
      <c r="F131" s="295">
        <f>F111+F121</f>
        <v>20187979.62126999</v>
      </c>
      <c r="G131" s="295">
        <f>G111+G121</f>
        <v>0</v>
      </c>
    </row>
    <row r="132" spans="1:7" s="512" customFormat="1">
      <c r="A132" s="762"/>
      <c r="B132" s="534"/>
      <c r="C132" s="533"/>
      <c r="D132" s="260"/>
      <c r="E132" s="260"/>
      <c r="F132" s="260"/>
      <c r="G132" s="260"/>
    </row>
    <row r="133" spans="1:7" s="516" customFormat="1">
      <c r="A133" s="761">
        <v>20</v>
      </c>
      <c r="B133" s="531"/>
      <c r="C133" s="531" t="s">
        <v>354</v>
      </c>
      <c r="D133" s="329">
        <f>D134+D140</f>
        <v>16655678.742360001</v>
      </c>
      <c r="E133" s="530">
        <f>E134+E140</f>
        <v>0</v>
      </c>
      <c r="F133" s="329">
        <f>F134+F140</f>
        <v>17540489.464189999</v>
      </c>
      <c r="G133" s="530">
        <f>G134+G140</f>
        <v>0</v>
      </c>
    </row>
    <row r="134" spans="1:7" s="516" customFormat="1">
      <c r="A134" s="520" t="s">
        <v>106</v>
      </c>
      <c r="B134" s="519"/>
      <c r="C134" s="519" t="s">
        <v>353</v>
      </c>
      <c r="D134" s="327">
        <f>D135+D136+D138+D139</f>
        <v>5901300.5031700004</v>
      </c>
      <c r="E134" s="326">
        <f>E135+E136+E138+E139</f>
        <v>0</v>
      </c>
      <c r="F134" s="327">
        <f>F135+F136+F138+F139</f>
        <v>6318154.2480000006</v>
      </c>
      <c r="G134" s="326">
        <f>G135+G136+G138+G139</f>
        <v>0</v>
      </c>
    </row>
    <row r="135" spans="1:7" s="525" customFormat="1">
      <c r="A135" s="527">
        <v>200</v>
      </c>
      <c r="B135" s="526"/>
      <c r="C135" s="526" t="s">
        <v>352</v>
      </c>
      <c r="D135" s="318">
        <v>2452996.3139800006</v>
      </c>
      <c r="E135" s="369"/>
      <c r="F135" s="317">
        <v>2539841.9794000005</v>
      </c>
      <c r="G135" s="316"/>
    </row>
    <row r="136" spans="1:7" s="525" customFormat="1">
      <c r="A136" s="527">
        <v>201</v>
      </c>
      <c r="B136" s="526"/>
      <c r="C136" s="526" t="s">
        <v>351</v>
      </c>
      <c r="D136" s="318">
        <v>3066397.5808899999</v>
      </c>
      <c r="E136" s="369"/>
      <c r="F136" s="317">
        <v>3405732.3186999997</v>
      </c>
      <c r="G136" s="316"/>
    </row>
    <row r="137" spans="1:7" s="525" customFormat="1">
      <c r="A137" s="529" t="s">
        <v>350</v>
      </c>
      <c r="B137" s="528"/>
      <c r="C137" s="528" t="s">
        <v>349</v>
      </c>
      <c r="D137" s="323"/>
      <c r="E137" s="791"/>
      <c r="F137" s="322"/>
      <c r="G137" s="328"/>
    </row>
    <row r="138" spans="1:7" s="525" customFormat="1">
      <c r="A138" s="527">
        <v>204</v>
      </c>
      <c r="B138" s="526"/>
      <c r="C138" s="526" t="s">
        <v>348</v>
      </c>
      <c r="D138" s="318">
        <v>296910.46151999995</v>
      </c>
      <c r="E138" s="789"/>
      <c r="F138" s="317">
        <v>281812.60510000004</v>
      </c>
      <c r="G138" s="304"/>
    </row>
    <row r="139" spans="1:7" s="525" customFormat="1">
      <c r="A139" s="527">
        <v>205</v>
      </c>
      <c r="B139" s="526"/>
      <c r="C139" s="526" t="s">
        <v>347</v>
      </c>
      <c r="D139" s="318">
        <v>84996.146779999995</v>
      </c>
      <c r="E139" s="789"/>
      <c r="F139" s="317">
        <v>90767.344799999992</v>
      </c>
      <c r="G139" s="304"/>
    </row>
    <row r="140" spans="1:7" s="525" customFormat="1">
      <c r="A140" s="520" t="s">
        <v>98</v>
      </c>
      <c r="B140" s="519"/>
      <c r="C140" s="519" t="s">
        <v>346</v>
      </c>
      <c r="D140" s="327">
        <f>D141+D143+D144</f>
        <v>10754378.239190001</v>
      </c>
      <c r="E140" s="326">
        <f>E141+E143+E144</f>
        <v>0</v>
      </c>
      <c r="F140" s="327">
        <f>F141+F143+F144</f>
        <v>11222335.216189999</v>
      </c>
      <c r="G140" s="326">
        <f>G141+G143+G144</f>
        <v>0</v>
      </c>
    </row>
    <row r="141" spans="1:7" s="525" customFormat="1">
      <c r="A141" s="527">
        <v>206</v>
      </c>
      <c r="B141" s="526"/>
      <c r="C141" s="526" t="s">
        <v>345</v>
      </c>
      <c r="D141" s="318">
        <v>10569341.330260001</v>
      </c>
      <c r="E141" s="789"/>
      <c r="F141" s="317">
        <v>10840322.441639999</v>
      </c>
      <c r="G141" s="304"/>
    </row>
    <row r="142" spans="1:7" s="525" customFormat="1">
      <c r="A142" s="529" t="s">
        <v>344</v>
      </c>
      <c r="B142" s="528"/>
      <c r="C142" s="528" t="s">
        <v>343</v>
      </c>
      <c r="D142" s="323">
        <v>606630.27396999998</v>
      </c>
      <c r="E142" s="791"/>
      <c r="F142" s="322">
        <v>647042.09949000005</v>
      </c>
      <c r="G142" s="328"/>
    </row>
    <row r="143" spans="1:7" s="525" customFormat="1">
      <c r="A143" s="527">
        <v>208</v>
      </c>
      <c r="B143" s="526"/>
      <c r="C143" s="526" t="s">
        <v>342</v>
      </c>
      <c r="D143" s="318">
        <v>163981.26800000001</v>
      </c>
      <c r="E143" s="789"/>
      <c r="F143" s="317">
        <v>360124.424</v>
      </c>
      <c r="G143" s="304"/>
    </row>
    <row r="144" spans="1:7" s="521" customFormat="1" ht="25.5">
      <c r="A144" s="524">
        <v>209</v>
      </c>
      <c r="B144" s="523"/>
      <c r="C144" s="523" t="s">
        <v>341</v>
      </c>
      <c r="D144" s="312">
        <v>21055.640930000001</v>
      </c>
      <c r="E144" s="790"/>
      <c r="F144" s="311">
        <v>21888.350549999999</v>
      </c>
      <c r="G144" s="339"/>
    </row>
    <row r="145" spans="1:7" s="516" customFormat="1">
      <c r="A145" s="520">
        <v>29</v>
      </c>
      <c r="B145" s="519"/>
      <c r="C145" s="519" t="s">
        <v>340</v>
      </c>
      <c r="D145" s="306">
        <v>2658858.3446599999</v>
      </c>
      <c r="E145" s="789"/>
      <c r="F145" s="305">
        <v>2647490.1568100001</v>
      </c>
      <c r="G145" s="304"/>
    </row>
    <row r="146" spans="1:7" s="516" customFormat="1">
      <c r="A146" s="518" t="s">
        <v>339</v>
      </c>
      <c r="B146" s="517"/>
      <c r="C146" s="517" t="s">
        <v>338</v>
      </c>
      <c r="D146" s="301">
        <v>1433041.31452</v>
      </c>
      <c r="E146" s="417"/>
      <c r="F146" s="300">
        <v>1322492.70205</v>
      </c>
      <c r="G146" s="299"/>
    </row>
    <row r="147" spans="1:7" s="512" customFormat="1">
      <c r="A147" s="760">
        <v>2</v>
      </c>
      <c r="B147" s="514"/>
      <c r="C147" s="515" t="s">
        <v>337</v>
      </c>
      <c r="D147" s="295">
        <f>D133+D145</f>
        <v>19314537.087020002</v>
      </c>
      <c r="E147" s="295">
        <f>E133+E145</f>
        <v>0</v>
      </c>
      <c r="F147" s="295">
        <f>F133+F145</f>
        <v>20187979.620999999</v>
      </c>
      <c r="G147" s="295">
        <f>G133+G145</f>
        <v>0</v>
      </c>
    </row>
    <row r="148" spans="1:7" ht="7.5" customHeight="1">
      <c r="D148" s="512"/>
      <c r="F148" s="512"/>
    </row>
    <row r="149" spans="1:7" ht="13.5" customHeight="1">
      <c r="A149" s="759" t="s">
        <v>336</v>
      </c>
      <c r="B149" s="509"/>
      <c r="C149" s="664"/>
      <c r="D149" s="509"/>
      <c r="E149" s="509"/>
      <c r="F149" s="509"/>
      <c r="G149" s="509"/>
    </row>
    <row r="150" spans="1:7">
      <c r="A150" s="657" t="s">
        <v>335</v>
      </c>
      <c r="B150" s="657"/>
      <c r="C150" s="657" t="s">
        <v>334</v>
      </c>
      <c r="D150" s="268">
        <f>D77+SUM(D8:D12)-D30-D31+D16-D33+D59+D63-D73+D64-D74-D54+D20-D35</f>
        <v>484040.77080911997</v>
      </c>
      <c r="E150" s="268">
        <f>E77+SUM(E8:E12)-E30-E31+E16-E33+E59+E63-E73+E64-E74-E54+E20-E35</f>
        <v>429833.78599999892</v>
      </c>
      <c r="F150" s="268">
        <f>F77+SUM(F8:F12)-F30-F31+F16-F33+F59+F63-F73+F64-F74-F54+F20-F35</f>
        <v>454910.09983999853</v>
      </c>
      <c r="G150" s="268">
        <f>G77+SUM(G8:G12)-G30-G31+G16-G33+G59+G63-G73+G64-G74-G54+G20-G35</f>
        <v>450756.99858061626</v>
      </c>
    </row>
    <row r="151" spans="1:7">
      <c r="A151" s="653" t="s">
        <v>333</v>
      </c>
      <c r="B151" s="653"/>
      <c r="C151" s="653" t="s">
        <v>332</v>
      </c>
      <c r="D151" s="269">
        <f>IF(D177=0,0,D150/D177)</f>
        <v>6.2087317040257585E-2</v>
      </c>
      <c r="E151" s="269">
        <f>IF(E177=0,0,E150/E177)</f>
        <v>5.420602576765416E-2</v>
      </c>
      <c r="F151" s="269">
        <f>IF(F177=0,0,F150/F177)</f>
        <v>5.7220227625650634E-2</v>
      </c>
      <c r="G151" s="269">
        <f>IF(G177=0,0,G150/G177)</f>
        <v>5.7544412604573623E-2</v>
      </c>
    </row>
    <row r="152" spans="1:7" s="504" customFormat="1" ht="25.5">
      <c r="A152" s="663" t="s">
        <v>330</v>
      </c>
      <c r="B152" s="663"/>
      <c r="C152" s="663" t="s">
        <v>331</v>
      </c>
      <c r="D152" s="274">
        <f>IF(D107=0,0,D150/D107)</f>
        <v>0.98938251953395517</v>
      </c>
      <c r="E152" s="274">
        <f>IF(E107=0,0,E150/E107)</f>
        <v>0.665536202875608</v>
      </c>
      <c r="F152" s="274">
        <f>IF(F107=0,0,F150/F107)</f>
        <v>0.81818429188557407</v>
      </c>
      <c r="G152" s="274">
        <f>IF(G107=0,0,G150/G107)</f>
        <v>0.61268618578830569</v>
      </c>
    </row>
    <row r="153" spans="1:7" s="504" customFormat="1" ht="25.5">
      <c r="A153" s="662" t="s">
        <v>330</v>
      </c>
      <c r="B153" s="662"/>
      <c r="C153" s="662" t="s">
        <v>329</v>
      </c>
      <c r="D153" s="758">
        <f>IF(0=D108,0,D150/D108)</f>
        <v>1.3471259993324582</v>
      </c>
      <c r="E153" s="758">
        <f>IF(0=E108,0,E150/E108)</f>
        <v>0.86373431473113849</v>
      </c>
      <c r="F153" s="758">
        <f>IF(0=F108,0,F150/F108)</f>
        <v>1.1401091313358793</v>
      </c>
      <c r="G153" s="758">
        <f>IF(0=G108,0,G150/G108)</f>
        <v>0.83493903756126742</v>
      </c>
    </row>
    <row r="154" spans="1:7" s="504" customFormat="1" ht="25.5">
      <c r="A154" s="661" t="s">
        <v>328</v>
      </c>
      <c r="B154" s="661"/>
      <c r="C154" s="661" t="s">
        <v>327</v>
      </c>
      <c r="D154" s="282">
        <f>D150-D107</f>
        <v>-5194.4453508800361</v>
      </c>
      <c r="E154" s="282">
        <f>E150-E107</f>
        <v>-216012.05100000114</v>
      </c>
      <c r="F154" s="282">
        <f>F150-F107</f>
        <v>-101089.45228000148</v>
      </c>
      <c r="G154" s="282">
        <f>G150-G107</f>
        <v>-284949.15741938382</v>
      </c>
    </row>
    <row r="155" spans="1:7" ht="27.6" customHeight="1">
      <c r="A155" s="659" t="s">
        <v>326</v>
      </c>
      <c r="B155" s="659"/>
      <c r="C155" s="659" t="s">
        <v>325</v>
      </c>
      <c r="D155" s="279">
        <f>D150-D108</f>
        <v>124727.11265912</v>
      </c>
      <c r="E155" s="279">
        <f>E150-E108</f>
        <v>-67812.051000001142</v>
      </c>
      <c r="F155" s="279">
        <f>F150-F108</f>
        <v>55904.349129998533</v>
      </c>
      <c r="G155" s="279">
        <f>G150-G108</f>
        <v>-89111.157419383817</v>
      </c>
    </row>
    <row r="156" spans="1:7">
      <c r="A156" s="657" t="s">
        <v>324</v>
      </c>
      <c r="B156" s="657"/>
      <c r="C156" s="657" t="s">
        <v>323</v>
      </c>
      <c r="D156" s="277">
        <f>D135+D136-D137+D141-D142</f>
        <v>15482104.951160001</v>
      </c>
      <c r="E156" s="277">
        <f>E135+E136-E137+E141-E142</f>
        <v>0</v>
      </c>
      <c r="F156" s="277">
        <f>F135+F136-F137+F141-F142</f>
        <v>16138854.640249999</v>
      </c>
      <c r="G156" s="277">
        <f>G135+G136-G137+G141-G142</f>
        <v>0</v>
      </c>
    </row>
    <row r="157" spans="1:7">
      <c r="A157" s="655" t="s">
        <v>322</v>
      </c>
      <c r="B157" s="655"/>
      <c r="C157" s="655" t="s">
        <v>321</v>
      </c>
      <c r="D157" s="273">
        <f>IF(D177=0,0,D156/D177)</f>
        <v>1.9858706466945026</v>
      </c>
      <c r="E157" s="273">
        <f>IF(E177=0,0,E156/E177)</f>
        <v>0</v>
      </c>
      <c r="F157" s="273">
        <f>IF(F177=0,0,F156/F177)</f>
        <v>2.0300031510779744</v>
      </c>
      <c r="G157" s="273">
        <f>IF(G177=0,0,G156/G177)</f>
        <v>0</v>
      </c>
    </row>
    <row r="158" spans="1:7">
      <c r="A158" s="657" t="s">
        <v>320</v>
      </c>
      <c r="B158" s="657"/>
      <c r="C158" s="657" t="s">
        <v>319</v>
      </c>
      <c r="D158" s="277">
        <f>D133-D142-D111</f>
        <v>11867316.83145</v>
      </c>
      <c r="E158" s="277">
        <f>E133-E142-E111</f>
        <v>0</v>
      </c>
      <c r="F158" s="277">
        <f>F133-F142-F111</f>
        <v>11992082.339490008</v>
      </c>
      <c r="G158" s="277">
        <f>G133-G142-G111</f>
        <v>0</v>
      </c>
    </row>
    <row r="159" spans="1:7">
      <c r="A159" s="653" t="s">
        <v>318</v>
      </c>
      <c r="B159" s="653"/>
      <c r="C159" s="653" t="s">
        <v>317</v>
      </c>
      <c r="D159" s="265">
        <f>D121-D123-D124-D142-D145</f>
        <v>10702645.954269998</v>
      </c>
      <c r="E159" s="265">
        <f>E121-E123-E124-E142-E145</f>
        <v>0</v>
      </c>
      <c r="F159" s="265">
        <f>F121-F123-F124-F142-F145</f>
        <v>10683096.577819999</v>
      </c>
      <c r="G159" s="265">
        <f>G121-G123-G124-G142-G145</f>
        <v>0</v>
      </c>
    </row>
    <row r="160" spans="1:7">
      <c r="A160" s="653" t="s">
        <v>315</v>
      </c>
      <c r="B160" s="653"/>
      <c r="C160" s="653" t="s">
        <v>316</v>
      </c>
      <c r="D160" s="276">
        <f>IF(D175=0,"-",1000*D158/D175)</f>
        <v>25025.393403885613</v>
      </c>
      <c r="E160" s="276">
        <f>IF(E175=0,"-",1000*E158/E175)</f>
        <v>0</v>
      </c>
      <c r="F160" s="276">
        <f>IF(F175=0,"-",1000*F158/F175)</f>
        <v>24851.738883399492</v>
      </c>
      <c r="G160" s="276">
        <f>IF(G175=0,"-",1000*G158/G175)</f>
        <v>0</v>
      </c>
    </row>
    <row r="161" spans="1:7">
      <c r="A161" s="653" t="s">
        <v>315</v>
      </c>
      <c r="B161" s="653"/>
      <c r="C161" s="653" t="s">
        <v>314</v>
      </c>
      <c r="D161" s="265">
        <f>IF(D175=0,0,1000*(D159/D175))</f>
        <v>22569.375139484317</v>
      </c>
      <c r="E161" s="265">
        <f>IF(E175=0,0,1000*(E159/E175))</f>
        <v>0</v>
      </c>
      <c r="F161" s="265">
        <f>IF(F175=0,0,1000*(F159/F175))</f>
        <v>22139.068020226092</v>
      </c>
      <c r="G161" s="265">
        <f>IF(G175=0,0,1000*(G159/G175))</f>
        <v>0</v>
      </c>
    </row>
    <row r="162" spans="1:7">
      <c r="A162" s="655" t="s">
        <v>313</v>
      </c>
      <c r="B162" s="655"/>
      <c r="C162" s="655" t="s">
        <v>312</v>
      </c>
      <c r="D162" s="273">
        <f>IF((D22+D23+D65+D66)=0,0,D158/(D22+D23+D65+D66))</f>
        <v>2.0212690190739178</v>
      </c>
      <c r="E162" s="273">
        <f>IF((E22+E23+E65+E66)=0,0,E158/(E22+E23+E65+E66))</f>
        <v>0</v>
      </c>
      <c r="F162" s="273">
        <f>IF((F22+F23+F65+F66)=0,0,F158/(F22+F23+F65+F66))</f>
        <v>1.9516597843434633</v>
      </c>
      <c r="G162" s="273">
        <f>IF((G22+G23+G65+G66)=0,0,G158/(G22+G23+G65+G66))</f>
        <v>0</v>
      </c>
    </row>
    <row r="163" spans="1:7">
      <c r="A163" s="653" t="s">
        <v>311</v>
      </c>
      <c r="B163" s="653"/>
      <c r="C163" s="653" t="s">
        <v>310</v>
      </c>
      <c r="D163" s="268">
        <f>D145</f>
        <v>2658858.3446599999</v>
      </c>
      <c r="E163" s="268">
        <f>E145</f>
        <v>0</v>
      </c>
      <c r="F163" s="268">
        <f>F145</f>
        <v>2647490.1568100001</v>
      </c>
      <c r="G163" s="268">
        <f>G145</f>
        <v>0</v>
      </c>
    </row>
    <row r="164" spans="1:7" ht="25.5">
      <c r="A164" s="663" t="s">
        <v>309</v>
      </c>
      <c r="B164" s="655"/>
      <c r="C164" s="655" t="s">
        <v>308</v>
      </c>
      <c r="D164" s="274">
        <f>IF(D178=0,0,D146/D178)</f>
        <v>0.18488384313908549</v>
      </c>
      <c r="E164" s="274">
        <f>IF(E178=0,0,E146/E178)</f>
        <v>0</v>
      </c>
      <c r="F164" s="274">
        <f>IF(F178=0,0,F146/F178)</f>
        <v>0.16647929327517169</v>
      </c>
      <c r="G164" s="274">
        <f>IF(G178=0,0,G146/G178)</f>
        <v>0</v>
      </c>
    </row>
    <row r="165" spans="1:7">
      <c r="A165" s="651" t="s">
        <v>307</v>
      </c>
      <c r="B165" s="651"/>
      <c r="C165" s="651" t="s">
        <v>306</v>
      </c>
      <c r="D165" s="262">
        <f>IF(D177=0,0,D180/D177)</f>
        <v>7.405653727187024E-2</v>
      </c>
      <c r="E165" s="262">
        <f>IF(E177=0,0,E180/E177)</f>
        <v>6.9123814626378052E-2</v>
      </c>
      <c r="F165" s="262">
        <f>IF(F177=0,0,F180/F177)</f>
        <v>7.5137685668459062E-2</v>
      </c>
      <c r="G165" s="262">
        <f>IF(G177=0,0,G180/G177)</f>
        <v>7.2781809761941013E-2</v>
      </c>
    </row>
    <row r="166" spans="1:7">
      <c r="A166" s="653" t="s">
        <v>305</v>
      </c>
      <c r="B166" s="653"/>
      <c r="C166" s="653" t="s">
        <v>304</v>
      </c>
      <c r="D166" s="268">
        <f>D55</f>
        <v>-10726.588219999918</v>
      </c>
      <c r="E166" s="268">
        <f>E55</f>
        <v>9985.4930000000168</v>
      </c>
      <c r="F166" s="268">
        <f>F55</f>
        <v>-10474.757179999986</v>
      </c>
      <c r="G166" s="268">
        <f>G55</f>
        <v>-821.72200000003795</v>
      </c>
    </row>
    <row r="167" spans="1:7" s="504" customFormat="1" ht="25.5">
      <c r="A167" s="663" t="s">
        <v>303</v>
      </c>
      <c r="B167" s="655"/>
      <c r="C167" s="655" t="s">
        <v>302</v>
      </c>
      <c r="D167" s="274">
        <f>IF(0=D111,0,(D44+D45+D46+D47+D48)/D111)</f>
        <v>3.1598428881173063E-2</v>
      </c>
      <c r="E167" s="274">
        <f>IF(0=E111,0,(E44+E45+E46+E47+E48)/E111)</f>
        <v>0</v>
      </c>
      <c r="F167" s="274">
        <f>IF(0=F111,0,(F44+F45+F46+F47+F48)/F111)</f>
        <v>2.260504375008331E-2</v>
      </c>
      <c r="G167" s="274">
        <f>IF(0=G111,0,(G44+G45+G46+G47+G48)/G111)</f>
        <v>0</v>
      </c>
    </row>
    <row r="168" spans="1:7">
      <c r="A168" s="653" t="s">
        <v>301</v>
      </c>
      <c r="B168" s="657"/>
      <c r="C168" s="657" t="s">
        <v>300</v>
      </c>
      <c r="D168" s="268">
        <f>D38-D44</f>
        <v>135329.99411999993</v>
      </c>
      <c r="E168" s="268">
        <f>E38-E44</f>
        <v>114890.18599999999</v>
      </c>
      <c r="F168" s="268">
        <f>F38-F44</f>
        <v>145926.18657999998</v>
      </c>
      <c r="G168" s="268">
        <f>G38-G44</f>
        <v>129620.376</v>
      </c>
    </row>
    <row r="169" spans="1:7">
      <c r="A169" s="655" t="s">
        <v>299</v>
      </c>
      <c r="B169" s="655"/>
      <c r="C169" s="655" t="s">
        <v>298</v>
      </c>
      <c r="D169" s="269">
        <f>IF(D177=0,0,D168/D177)</f>
        <v>1.7358612655581532E-2</v>
      </c>
      <c r="E169" s="269">
        <f>IF(E177=0,0,E168/E177)</f>
        <v>1.4488717698814383E-2</v>
      </c>
      <c r="F169" s="269">
        <f>IF(F177=0,0,F168/F177)</f>
        <v>1.8355120309677914E-2</v>
      </c>
      <c r="G169" s="269">
        <f>IF(G177=0,0,G168/G177)</f>
        <v>1.6547559820460491E-2</v>
      </c>
    </row>
    <row r="170" spans="1:7">
      <c r="A170" s="653" t="s">
        <v>297</v>
      </c>
      <c r="B170" s="653"/>
      <c r="C170" s="653" t="s">
        <v>296</v>
      </c>
      <c r="D170" s="268">
        <f>SUM(D82:D87)+SUM(D89:D94)</f>
        <v>666193.44146</v>
      </c>
      <c r="E170" s="268">
        <f>SUM(E82:E87)+SUM(E89:E94)</f>
        <v>715155.33700000006</v>
      </c>
      <c r="F170" s="268">
        <f>SUM(F82:F87)+SUM(F89:F94)</f>
        <v>635453.44255000004</v>
      </c>
      <c r="G170" s="268">
        <f>SUM(G82:G87)+SUM(G89:G94)</f>
        <v>802252.15600000008</v>
      </c>
    </row>
    <row r="171" spans="1:7">
      <c r="A171" s="653" t="s">
        <v>295</v>
      </c>
      <c r="B171" s="653"/>
      <c r="C171" s="653" t="s">
        <v>294</v>
      </c>
      <c r="D171" s="265">
        <f>SUM(D96:D102)+SUM(D104:D105)</f>
        <v>176958.22529999999</v>
      </c>
      <c r="E171" s="265">
        <f>SUM(E96:E102)+SUM(E104:E105)</f>
        <v>69309.5</v>
      </c>
      <c r="F171" s="265">
        <f>SUM(F96:F102)+SUM(F104:F105)</f>
        <v>79453.890429999999</v>
      </c>
      <c r="G171" s="265">
        <f>SUM(G96:G102)+SUM(G104:G105)</f>
        <v>66546</v>
      </c>
    </row>
    <row r="172" spans="1:7">
      <c r="A172" s="651" t="s">
        <v>293</v>
      </c>
      <c r="B172" s="651"/>
      <c r="C172" s="651" t="s">
        <v>292</v>
      </c>
      <c r="D172" s="262">
        <f>IF(D184=0,0,D170/D184)</f>
        <v>8.3839230853559404E-2</v>
      </c>
      <c r="E172" s="262">
        <f>IF(E184=0,0,E170/E184)</f>
        <v>8.7640424793232308E-2</v>
      </c>
      <c r="F172" s="262">
        <f>IF(F184=0,0,F170/F184)</f>
        <v>7.8522394643019772E-2</v>
      </c>
      <c r="G172" s="262">
        <f>IF(G184=0,0,G170/G184)</f>
        <v>9.8654039260859208E-2</v>
      </c>
    </row>
    <row r="174" spans="1:7">
      <c r="A174" s="788" t="s">
        <v>291</v>
      </c>
      <c r="B174" s="534"/>
      <c r="C174" s="533"/>
      <c r="D174" s="257"/>
      <c r="E174" s="257"/>
      <c r="F174" s="258"/>
      <c r="G174" s="258"/>
    </row>
    <row r="175" spans="1:7" s="480" customFormat="1">
      <c r="A175" s="762" t="s">
        <v>290</v>
      </c>
      <c r="B175" s="534"/>
      <c r="C175" s="534" t="s">
        <v>289</v>
      </c>
      <c r="D175" s="258">
        <v>474211</v>
      </c>
      <c r="E175" s="258">
        <v>482545</v>
      </c>
      <c r="F175" s="258">
        <v>482545</v>
      </c>
      <c r="G175" s="258">
        <v>482545</v>
      </c>
    </row>
    <row r="176" spans="1:7">
      <c r="A176" s="479" t="s">
        <v>288</v>
      </c>
      <c r="B176" s="477"/>
      <c r="C176" s="477"/>
      <c r="D176" s="477"/>
      <c r="E176" s="477"/>
      <c r="F176" s="477"/>
      <c r="G176" s="477"/>
    </row>
    <row r="177" spans="1:7">
      <c r="A177" s="478" t="s">
        <v>287</v>
      </c>
      <c r="B177" s="477"/>
      <c r="C177" s="477" t="s">
        <v>286</v>
      </c>
      <c r="D177" s="475">
        <f>SUM(D22:D32)+SUM(D44:D53)+SUM(D65:D72)+D75</f>
        <v>7796129.6104205409</v>
      </c>
      <c r="E177" s="475">
        <f>SUM(E22:E32)+SUM(E44:E53)+SUM(E65:E72)+E75</f>
        <v>7929631.067999999</v>
      </c>
      <c r="F177" s="475">
        <f>SUM(F22:F32)+SUM(F44:F53)+SUM(F65:F72)+F75</f>
        <v>7950162.3589499984</v>
      </c>
      <c r="G177" s="475">
        <f>SUM(G22:G32)+SUM(G44:G53)+SUM(G65:G72)+G75</f>
        <v>7833201.8379972158</v>
      </c>
    </row>
    <row r="178" spans="1:7">
      <c r="A178" s="478" t="s">
        <v>285</v>
      </c>
      <c r="B178" s="477"/>
      <c r="C178" s="477" t="s">
        <v>284</v>
      </c>
      <c r="D178" s="475">
        <f>D78-D17-D20-D59-D63-D64</f>
        <v>7751035.9487818712</v>
      </c>
      <c r="E178" s="475">
        <f>E78-E17-E20-E59-E63-E64</f>
        <v>7929386.3090000004</v>
      </c>
      <c r="F178" s="475">
        <f>F78-F17-F20-F59-F63-F64</f>
        <v>7943887.0506499996</v>
      </c>
      <c r="G178" s="475">
        <f>G78-G17-G20-G59-G63-G64</f>
        <v>7819442.3094165996</v>
      </c>
    </row>
    <row r="179" spans="1:7">
      <c r="A179" s="478"/>
      <c r="B179" s="477"/>
      <c r="C179" s="477" t="s">
        <v>283</v>
      </c>
      <c r="D179" s="475">
        <f>D178+D170</f>
        <v>8417229.3902418707</v>
      </c>
      <c r="E179" s="475">
        <f>E178+E170</f>
        <v>8644541.6459999997</v>
      </c>
      <c r="F179" s="475">
        <f>F178+F170</f>
        <v>8579340.4932000004</v>
      </c>
      <c r="G179" s="475">
        <f>G178+G170</f>
        <v>8621694.4654165991</v>
      </c>
    </row>
    <row r="180" spans="1:7">
      <c r="A180" s="477" t="s">
        <v>282</v>
      </c>
      <c r="B180" s="477"/>
      <c r="C180" s="477" t="s">
        <v>281</v>
      </c>
      <c r="D180" s="475">
        <f>D38-D44+D8+D9+D10+D16-D33</f>
        <v>577354.36307044001</v>
      </c>
      <c r="E180" s="475">
        <f>E38-E44+E8+E9+E10+E16-E33</f>
        <v>548126.34800000011</v>
      </c>
      <c r="F180" s="475">
        <f>F38-F44+F8+F9+F10+F16-F33</f>
        <v>597356.80033999996</v>
      </c>
      <c r="G180" s="475">
        <f>G38-G44+G8+G9+G10+G16-G33</f>
        <v>570114.60600000003</v>
      </c>
    </row>
    <row r="181" spans="1:7" ht="27.6" customHeight="1">
      <c r="A181" s="474" t="s">
        <v>280</v>
      </c>
      <c r="B181" s="472"/>
      <c r="C181" s="472" t="s">
        <v>279</v>
      </c>
      <c r="D181" s="249">
        <f>D22+D23+D24+D25+D26+D29+SUM(D44:D47)+SUM(D49:D53)-D54+D32-D33+SUM(D65:D70)+D72</f>
        <v>7755118.541460542</v>
      </c>
      <c r="E181" s="249">
        <f>E22+E23+E24+E25+E26+E29+SUM(E44:E47)+SUM(E49:E53)-E54+E32-E33+SUM(E65:E70)+E72</f>
        <v>7886032.2759999996</v>
      </c>
      <c r="F181" s="249">
        <f>F22+F23+F24+F25+F26+F29+SUM(F44:F47)+SUM(F49:F53)-F54+F32-F33+SUM(F65:F70)+F72</f>
        <v>7910632.2030299986</v>
      </c>
      <c r="G181" s="249">
        <f>G22+G23+G24+G25+G26+G29+SUM(G44:G47)+SUM(G49:G53)-G54+G32-G33+SUM(G65:G70)+G72</f>
        <v>7787213.7739972165</v>
      </c>
    </row>
    <row r="182" spans="1:7">
      <c r="A182" s="473" t="s">
        <v>278</v>
      </c>
      <c r="B182" s="472"/>
      <c r="C182" s="472" t="s">
        <v>277</v>
      </c>
      <c r="D182" s="249">
        <f>D181+D171</f>
        <v>7932076.7667605421</v>
      </c>
      <c r="E182" s="249">
        <f>E181+E171</f>
        <v>7955341.7759999996</v>
      </c>
      <c r="F182" s="249">
        <f>F181+F171</f>
        <v>7990086.0934599983</v>
      </c>
      <c r="G182" s="249">
        <f>G181+G171</f>
        <v>7853759.7739972165</v>
      </c>
    </row>
    <row r="183" spans="1:7">
      <c r="A183" s="473" t="s">
        <v>276</v>
      </c>
      <c r="B183" s="472"/>
      <c r="C183" s="472" t="s">
        <v>275</v>
      </c>
      <c r="D183" s="249">
        <f>D4+D5-D7+D38+D39+D40+D41+D43+D13-D16+D57+D58+D60+D62</f>
        <v>7279889.0151363518</v>
      </c>
      <c r="E183" s="249">
        <f>E4+E5-E7+E38+E39+E40+E41+E43+E13-E16+E57+E58+E60+E62</f>
        <v>7444952.7259999998</v>
      </c>
      <c r="F183" s="249">
        <f>F4+F5-F7+F38+F39+F40+F41+F43+F13-F16+F57+F58+F60+F62</f>
        <v>7457186.1851500003</v>
      </c>
      <c r="G183" s="249">
        <f>G4+G5-G7+G38+G39+G40+G41+G43+G13-G16+G57+G58+G60+G62</f>
        <v>7329722.5914170779</v>
      </c>
    </row>
    <row r="184" spans="1:7">
      <c r="A184" s="473" t="s">
        <v>274</v>
      </c>
      <c r="B184" s="472"/>
      <c r="C184" s="472" t="s">
        <v>273</v>
      </c>
      <c r="D184" s="249">
        <f>D183+D170</f>
        <v>7946082.4565963522</v>
      </c>
      <c r="E184" s="249">
        <f>E183+E170</f>
        <v>8160108.0630000001</v>
      </c>
      <c r="F184" s="249">
        <f>F183+F170</f>
        <v>8092639.6277000001</v>
      </c>
      <c r="G184" s="249">
        <f>G183+G170</f>
        <v>8131974.7474170784</v>
      </c>
    </row>
    <row r="185" spans="1:7">
      <c r="A185" s="473"/>
      <c r="B185" s="472"/>
      <c r="C185" s="472" t="s">
        <v>272</v>
      </c>
      <c r="D185" s="249">
        <f t="shared" ref="D185:G186" si="0">D181-D183</f>
        <v>475229.5263241902</v>
      </c>
      <c r="E185" s="249">
        <f t="shared" si="0"/>
        <v>441079.54999999981</v>
      </c>
      <c r="F185" s="249">
        <f t="shared" si="0"/>
        <v>453446.01787999831</v>
      </c>
      <c r="G185" s="249">
        <f t="shared" si="0"/>
        <v>457491.18258013856</v>
      </c>
    </row>
    <row r="186" spans="1:7">
      <c r="A186" s="473"/>
      <c r="B186" s="472"/>
      <c r="C186" s="472" t="s">
        <v>271</v>
      </c>
      <c r="D186" s="249">
        <f t="shared" si="0"/>
        <v>-14005.689835810103</v>
      </c>
      <c r="E186" s="249">
        <f t="shared" si="0"/>
        <v>-204766.28700000048</v>
      </c>
      <c r="F186" s="249">
        <f t="shared" si="0"/>
        <v>-102553.53424000181</v>
      </c>
      <c r="G186" s="249">
        <f t="shared" si="0"/>
        <v>-278214.97341986187</v>
      </c>
    </row>
  </sheetData>
  <sheetProtection selectLockedCells="1" sort="0" autoFilter="0" pivotTables="0"/>
  <mergeCells count="2">
    <mergeCell ref="A3:C3"/>
    <mergeCell ref="A81:C81"/>
  </mergeCells>
  <pageMargins left="0.23622047244094491" right="0.23622047244094491" top="0.74803149606299213" bottom="0.74803149606299213" header="0.31496062992125984" footer="0.31496062992125984"/>
  <pageSetup paperSize="9" fitToHeight="8" orientation="landscape" r:id="rId1"/>
  <headerFooter alignWithMargins="0">
    <oddHeader>&amp;LFachgruppe für kantonale Finanzfragen (FkF)
Groupe d'études pour les finances cantonales
&amp;CKanton VD&amp;RZürich, 11.05.2015</oddHeader>
    <oddFooter>&amp;L&amp;F / &amp;A</oddFooter>
  </headerFooter>
  <rowBreaks count="2" manualBreakCount="2">
    <brk id="79" max="16383" man="1"/>
    <brk id="148" max="16383" man="1"/>
  </rowBreaks>
  <legacy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8">
    <tabColor rgb="FF00B050"/>
  </sheetPr>
  <dimension ref="A1:AN186"/>
  <sheetViews>
    <sheetView zoomScale="115" zoomScaleNormal="115" workbookViewId="0">
      <selection activeCell="G10" sqref="G10"/>
    </sheetView>
  </sheetViews>
  <sheetFormatPr baseColWidth="10" defaultColWidth="11.42578125" defaultRowHeight="12.75"/>
  <cols>
    <col min="1" max="1" width="20.28515625" style="470" customWidth="1"/>
    <col min="2" max="2" width="3.7109375" style="470" customWidth="1"/>
    <col min="3" max="3" width="44.7109375" style="470" customWidth="1"/>
    <col min="4" max="16384" width="11.42578125" style="470"/>
  </cols>
  <sheetData>
    <row r="1" spans="1:40" s="642" customFormat="1" ht="18" customHeight="1">
      <c r="A1" s="752" t="s">
        <v>258</v>
      </c>
      <c r="B1" s="810" t="s">
        <v>505</v>
      </c>
      <c r="C1" s="810" t="s">
        <v>504</v>
      </c>
      <c r="D1" s="643" t="s">
        <v>487</v>
      </c>
      <c r="E1" s="644" t="s">
        <v>254</v>
      </c>
      <c r="F1" s="643" t="s">
        <v>487</v>
      </c>
      <c r="G1" s="644" t="s">
        <v>254</v>
      </c>
      <c r="H1" s="608"/>
      <c r="I1" s="608"/>
      <c r="J1" s="608"/>
      <c r="K1" s="608"/>
      <c r="L1" s="608"/>
      <c r="M1" s="608"/>
      <c r="N1" s="608"/>
      <c r="O1" s="608"/>
      <c r="P1" s="608"/>
      <c r="Q1" s="608"/>
      <c r="R1" s="608"/>
      <c r="S1" s="608"/>
      <c r="T1" s="608"/>
      <c r="U1" s="608"/>
      <c r="V1" s="608"/>
      <c r="W1" s="608"/>
      <c r="X1" s="608"/>
      <c r="Y1" s="608"/>
      <c r="Z1" s="608"/>
      <c r="AA1" s="608"/>
      <c r="AB1" s="608"/>
      <c r="AC1" s="608"/>
      <c r="AD1" s="608"/>
      <c r="AE1" s="608"/>
      <c r="AF1" s="608"/>
      <c r="AG1" s="608"/>
      <c r="AH1" s="608"/>
      <c r="AI1" s="608"/>
      <c r="AJ1" s="608"/>
      <c r="AK1" s="608"/>
      <c r="AL1" s="608"/>
      <c r="AM1" s="608"/>
      <c r="AN1" s="608"/>
    </row>
    <row r="2" spans="1:40" s="636" customFormat="1" ht="15" customHeight="1">
      <c r="A2" s="641"/>
      <c r="B2" s="640"/>
      <c r="C2" s="639" t="s">
        <v>503</v>
      </c>
      <c r="D2" s="637">
        <v>2013</v>
      </c>
      <c r="E2" s="638">
        <v>2014</v>
      </c>
      <c r="F2" s="637">
        <v>2014</v>
      </c>
      <c r="G2" s="638">
        <v>2015</v>
      </c>
    </row>
    <row r="3" spans="1:40" ht="15" customHeight="1">
      <c r="A3" s="949" t="s">
        <v>485</v>
      </c>
      <c r="B3" s="950"/>
      <c r="C3" s="950"/>
      <c r="D3" s="512"/>
      <c r="E3" s="635" t="s">
        <v>502</v>
      </c>
      <c r="F3" s="512"/>
      <c r="G3" s="635"/>
    </row>
    <row r="4" spans="1:40" s="480" customFormat="1" ht="12.75" customHeight="1">
      <c r="A4" s="670">
        <v>30</v>
      </c>
      <c r="B4" s="669"/>
      <c r="C4" s="632" t="s">
        <v>484</v>
      </c>
      <c r="D4" s="411">
        <v>257583.87641</v>
      </c>
      <c r="E4" s="453">
        <v>260902.7</v>
      </c>
      <c r="F4" s="411">
        <v>259259.10959000001</v>
      </c>
      <c r="G4" s="453">
        <v>263646.8</v>
      </c>
    </row>
    <row r="5" spans="1:40" s="480" customFormat="1" ht="12.75" customHeight="1">
      <c r="A5" s="591">
        <v>31</v>
      </c>
      <c r="B5" s="587"/>
      <c r="C5" s="585" t="s">
        <v>483</v>
      </c>
      <c r="D5" s="317">
        <v>70679.239709999994</v>
      </c>
      <c r="E5" s="361">
        <v>74410.399999999994</v>
      </c>
      <c r="F5" s="317">
        <v>71302.875469999999</v>
      </c>
      <c r="G5" s="361">
        <v>75598.100000000006</v>
      </c>
    </row>
    <row r="6" spans="1:40" s="480" customFormat="1" ht="12.75" customHeight="1">
      <c r="A6" s="630" t="s">
        <v>482</v>
      </c>
      <c r="B6" s="586"/>
      <c r="C6" s="616" t="s">
        <v>481</v>
      </c>
      <c r="D6" s="322">
        <v>9229.0133499999993</v>
      </c>
      <c r="E6" s="321">
        <v>9147</v>
      </c>
      <c r="F6" s="322">
        <v>9313.2281999999996</v>
      </c>
      <c r="G6" s="361">
        <v>10158.200000000001</v>
      </c>
    </row>
    <row r="7" spans="1:40" s="480" customFormat="1" ht="12.75" customHeight="1">
      <c r="A7" s="630" t="s">
        <v>480</v>
      </c>
      <c r="B7" s="586"/>
      <c r="C7" s="616" t="s">
        <v>479</v>
      </c>
      <c r="D7" s="322">
        <v>0</v>
      </c>
      <c r="E7" s="321">
        <v>0</v>
      </c>
      <c r="F7" s="322">
        <v>0</v>
      </c>
      <c r="G7" s="361">
        <v>0</v>
      </c>
    </row>
    <row r="8" spans="1:40" s="480" customFormat="1" ht="12.75" customHeight="1">
      <c r="A8" s="593">
        <v>330</v>
      </c>
      <c r="B8" s="587"/>
      <c r="C8" s="585" t="s">
        <v>478</v>
      </c>
      <c r="D8" s="317">
        <v>16620.913</v>
      </c>
      <c r="E8" s="316">
        <v>16639</v>
      </c>
      <c r="F8" s="317">
        <v>16782.385999999999</v>
      </c>
      <c r="G8" s="361">
        <v>17095</v>
      </c>
    </row>
    <row r="9" spans="1:40" s="480" customFormat="1" ht="12.75" customHeight="1">
      <c r="A9" s="593">
        <v>332</v>
      </c>
      <c r="B9" s="587"/>
      <c r="C9" s="585" t="s">
        <v>477</v>
      </c>
      <c r="D9" s="317">
        <v>0</v>
      </c>
      <c r="E9" s="316">
        <v>0</v>
      </c>
      <c r="F9" s="317">
        <v>0</v>
      </c>
      <c r="G9" s="361">
        <v>0</v>
      </c>
    </row>
    <row r="10" spans="1:40" s="480" customFormat="1" ht="12.75" customHeight="1">
      <c r="A10" s="593">
        <v>339</v>
      </c>
      <c r="B10" s="587"/>
      <c r="C10" s="585" t="s">
        <v>476</v>
      </c>
      <c r="D10" s="317">
        <v>0</v>
      </c>
      <c r="E10" s="316">
        <v>0</v>
      </c>
      <c r="F10" s="317">
        <v>0</v>
      </c>
      <c r="G10" s="361">
        <v>0</v>
      </c>
    </row>
    <row r="11" spans="1:40" s="771" customFormat="1" ht="28.15" customHeight="1">
      <c r="A11" s="804">
        <v>350</v>
      </c>
      <c r="B11" s="776"/>
      <c r="C11" s="589" t="s">
        <v>475</v>
      </c>
      <c r="D11" s="311">
        <v>82.4</v>
      </c>
      <c r="E11" s="310">
        <v>62</v>
      </c>
      <c r="F11" s="311">
        <v>62.4</v>
      </c>
      <c r="G11" s="361">
        <v>82</v>
      </c>
    </row>
    <row r="12" spans="1:40" s="579" customFormat="1" ht="25.5">
      <c r="A12" s="597">
        <v>351</v>
      </c>
      <c r="B12" s="596"/>
      <c r="C12" s="589" t="s">
        <v>474</v>
      </c>
      <c r="D12" s="450">
        <v>8810.0898799999995</v>
      </c>
      <c r="E12" s="400">
        <v>10067</v>
      </c>
      <c r="F12" s="450">
        <v>11003.264999999999</v>
      </c>
      <c r="G12" s="361">
        <v>10254.4</v>
      </c>
    </row>
    <row r="13" spans="1:40" s="480" customFormat="1" ht="12.75" customHeight="1">
      <c r="A13" s="591">
        <v>36</v>
      </c>
      <c r="B13" s="587"/>
      <c r="C13" s="585" t="s">
        <v>473</v>
      </c>
      <c r="D13" s="362">
        <v>410311.12682</v>
      </c>
      <c r="E13" s="316">
        <v>425279.8</v>
      </c>
      <c r="F13" s="362">
        <v>410933.58814000001</v>
      </c>
      <c r="G13" s="361">
        <v>427382.7</v>
      </c>
    </row>
    <row r="14" spans="1:40" s="480" customFormat="1" ht="12.75" customHeight="1">
      <c r="A14" s="629" t="s">
        <v>472</v>
      </c>
      <c r="B14" s="587"/>
      <c r="C14" s="627" t="s">
        <v>471</v>
      </c>
      <c r="D14" s="362">
        <v>87483.261920000004</v>
      </c>
      <c r="E14" s="316">
        <v>89455.7</v>
      </c>
      <c r="F14" s="362">
        <v>87099.438099999999</v>
      </c>
      <c r="G14" s="362">
        <v>89004.7</v>
      </c>
    </row>
    <row r="15" spans="1:40" s="480" customFormat="1" ht="12.75" customHeight="1">
      <c r="A15" s="629" t="s">
        <v>470</v>
      </c>
      <c r="B15" s="587"/>
      <c r="C15" s="627" t="s">
        <v>469</v>
      </c>
      <c r="D15" s="362">
        <v>16835.443569999999</v>
      </c>
      <c r="E15" s="316">
        <v>23385.1</v>
      </c>
      <c r="F15" s="362">
        <v>11692.41685</v>
      </c>
      <c r="G15" s="361">
        <v>23525.9</v>
      </c>
    </row>
    <row r="16" spans="1:40" s="626" customFormat="1" ht="26.25" customHeight="1">
      <c r="A16" s="629" t="s">
        <v>468</v>
      </c>
      <c r="B16" s="668"/>
      <c r="C16" s="627" t="s">
        <v>467</v>
      </c>
      <c r="D16" s="444">
        <v>20942.571</v>
      </c>
      <c r="E16" s="443">
        <v>19945</v>
      </c>
      <c r="F16" s="444">
        <v>19925.343000000001</v>
      </c>
      <c r="G16" s="361">
        <v>18884</v>
      </c>
    </row>
    <row r="17" spans="1:7" s="622" customFormat="1">
      <c r="A17" s="591">
        <v>37</v>
      </c>
      <c r="B17" s="587"/>
      <c r="C17" s="585" t="s">
        <v>448</v>
      </c>
      <c r="D17" s="362">
        <v>104344.91005000001</v>
      </c>
      <c r="E17" s="430">
        <v>105128.4</v>
      </c>
      <c r="F17" s="362">
        <v>110912.99159999999</v>
      </c>
      <c r="G17" s="361">
        <v>99064.6</v>
      </c>
    </row>
    <row r="18" spans="1:7" s="622" customFormat="1">
      <c r="A18" s="593" t="s">
        <v>466</v>
      </c>
      <c r="B18" s="587"/>
      <c r="C18" s="585" t="s">
        <v>465</v>
      </c>
      <c r="D18" s="362">
        <v>0</v>
      </c>
      <c r="E18" s="316">
        <v>0</v>
      </c>
      <c r="F18" s="362">
        <v>0</v>
      </c>
      <c r="G18" s="361">
        <v>0</v>
      </c>
    </row>
    <row r="19" spans="1:7" s="622" customFormat="1">
      <c r="A19" s="593" t="s">
        <v>464</v>
      </c>
      <c r="B19" s="587"/>
      <c r="C19" s="585" t="s">
        <v>463</v>
      </c>
      <c r="D19" s="362">
        <v>101300.57614999999</v>
      </c>
      <c r="E19" s="430">
        <v>102380</v>
      </c>
      <c r="F19" s="362">
        <v>107737.181</v>
      </c>
      <c r="G19" s="361">
        <v>95521.5</v>
      </c>
    </row>
    <row r="20" spans="1:7" s="480" customFormat="1" ht="12.75" customHeight="1">
      <c r="A20" s="615">
        <v>39</v>
      </c>
      <c r="B20" s="614"/>
      <c r="C20" s="583" t="s">
        <v>447</v>
      </c>
      <c r="D20" s="355">
        <v>357.84025000000003</v>
      </c>
      <c r="E20" s="372">
        <v>334.5</v>
      </c>
      <c r="F20" s="355">
        <v>297</v>
      </c>
      <c r="G20" s="354">
        <v>334.5</v>
      </c>
    </row>
    <row r="21" spans="1:7" ht="12.75" customHeight="1">
      <c r="A21" s="578"/>
      <c r="B21" s="578"/>
      <c r="C21" s="576" t="s">
        <v>462</v>
      </c>
      <c r="D21" s="380">
        <f>D4+D5+SUM(D8:D13)+D17</f>
        <v>868432.55587000004</v>
      </c>
      <c r="E21" s="380">
        <f>E4+E5+SUM(E8:E13)+E17</f>
        <v>892489.29999999993</v>
      </c>
      <c r="F21" s="380">
        <f>F4+F5+SUM(F8:F13)+F17</f>
        <v>880256.61579999991</v>
      </c>
      <c r="G21" s="380">
        <f>G4+G5+SUM(G8:G13)+G17</f>
        <v>893123.6</v>
      </c>
    </row>
    <row r="22" spans="1:7" s="480" customFormat="1" ht="12.75" customHeight="1">
      <c r="A22" s="593" t="s">
        <v>226</v>
      </c>
      <c r="B22" s="587"/>
      <c r="C22" s="585" t="s">
        <v>461</v>
      </c>
      <c r="D22" s="317">
        <v>266611.21814000001</v>
      </c>
      <c r="E22" s="316">
        <v>271310</v>
      </c>
      <c r="F22" s="317">
        <v>283976.29729999998</v>
      </c>
      <c r="G22" s="316">
        <v>279215</v>
      </c>
    </row>
    <row r="23" spans="1:7" s="480" customFormat="1" ht="12.75" customHeight="1">
      <c r="A23" s="593" t="s">
        <v>224</v>
      </c>
      <c r="B23" s="587"/>
      <c r="C23" s="585" t="s">
        <v>460</v>
      </c>
      <c r="D23" s="317">
        <v>50626.434999999998</v>
      </c>
      <c r="E23" s="316">
        <v>51005</v>
      </c>
      <c r="F23" s="317">
        <v>50471.907350000001</v>
      </c>
      <c r="G23" s="316">
        <v>51255</v>
      </c>
    </row>
    <row r="24" spans="1:7" s="621" customFormat="1" ht="12.75" customHeight="1">
      <c r="A24" s="591">
        <v>41</v>
      </c>
      <c r="B24" s="587"/>
      <c r="C24" s="585" t="s">
        <v>459</v>
      </c>
      <c r="D24" s="317">
        <v>7784.1563900000001</v>
      </c>
      <c r="E24" s="316">
        <v>7807.1</v>
      </c>
      <c r="F24" s="317">
        <v>2288.7099199999998</v>
      </c>
      <c r="G24" s="316">
        <v>4604.2</v>
      </c>
    </row>
    <row r="25" spans="1:7" s="480" customFormat="1" ht="12.75" customHeight="1">
      <c r="A25" s="620">
        <v>42</v>
      </c>
      <c r="B25" s="619"/>
      <c r="C25" s="585" t="s">
        <v>458</v>
      </c>
      <c r="D25" s="317">
        <v>40021.454870000001</v>
      </c>
      <c r="E25" s="316">
        <v>38849.300000000003</v>
      </c>
      <c r="F25" s="317">
        <v>38856.352319999998</v>
      </c>
      <c r="G25" s="316">
        <v>39552.6</v>
      </c>
    </row>
    <row r="26" spans="1:7" s="618" customFormat="1" ht="12.75" customHeight="1">
      <c r="A26" s="597">
        <v>430</v>
      </c>
      <c r="B26" s="587"/>
      <c r="C26" s="585" t="s">
        <v>501</v>
      </c>
      <c r="D26" s="431">
        <v>135.78989999999999</v>
      </c>
      <c r="E26" s="430">
        <v>128</v>
      </c>
      <c r="F26" s="431">
        <v>112.84601000000001</v>
      </c>
      <c r="G26" s="430">
        <v>128.80000000000001</v>
      </c>
    </row>
    <row r="27" spans="1:7" s="618" customFormat="1" ht="12.75" customHeight="1">
      <c r="A27" s="597">
        <v>431</v>
      </c>
      <c r="B27" s="587"/>
      <c r="C27" s="585" t="s">
        <v>456</v>
      </c>
      <c r="D27" s="431">
        <v>14.215350000000001</v>
      </c>
      <c r="E27" s="430">
        <v>20</v>
      </c>
      <c r="F27" s="431">
        <v>16.172599999999999</v>
      </c>
      <c r="G27" s="430">
        <v>20</v>
      </c>
    </row>
    <row r="28" spans="1:7" s="618" customFormat="1" ht="12.75" customHeight="1">
      <c r="A28" s="597">
        <v>432</v>
      </c>
      <c r="B28" s="587"/>
      <c r="C28" s="585" t="s">
        <v>455</v>
      </c>
      <c r="D28" s="431">
        <v>0</v>
      </c>
      <c r="E28" s="430">
        <v>0</v>
      </c>
      <c r="F28" s="431">
        <v>0</v>
      </c>
      <c r="G28" s="430">
        <v>0</v>
      </c>
    </row>
    <row r="29" spans="1:7" s="618" customFormat="1" ht="12.75" customHeight="1">
      <c r="A29" s="597">
        <v>439</v>
      </c>
      <c r="B29" s="587"/>
      <c r="C29" s="585" t="s">
        <v>454</v>
      </c>
      <c r="D29" s="431">
        <v>3.0292500000000002</v>
      </c>
      <c r="E29" s="430">
        <v>3</v>
      </c>
      <c r="F29" s="431">
        <v>3.3584000000000001</v>
      </c>
      <c r="G29" s="430">
        <v>3</v>
      </c>
    </row>
    <row r="30" spans="1:7" s="480" customFormat="1" ht="25.5">
      <c r="A30" s="597">
        <v>450</v>
      </c>
      <c r="B30" s="596"/>
      <c r="C30" s="589" t="s">
        <v>453</v>
      </c>
      <c r="D30" s="362">
        <v>485.59888000000001</v>
      </c>
      <c r="E30" s="361">
        <v>0</v>
      </c>
      <c r="F30" s="362">
        <v>105.23633</v>
      </c>
      <c r="G30" s="361">
        <v>0</v>
      </c>
    </row>
    <row r="31" spans="1:7" s="579" customFormat="1" ht="25.5">
      <c r="A31" s="597">
        <v>451</v>
      </c>
      <c r="B31" s="596"/>
      <c r="C31" s="589" t="s">
        <v>452</v>
      </c>
      <c r="D31" s="809">
        <v>13975.59773</v>
      </c>
      <c r="E31" s="808">
        <v>12508.9</v>
      </c>
      <c r="F31" s="809">
        <v>10353.33446</v>
      </c>
      <c r="G31" s="808">
        <v>10697.4</v>
      </c>
    </row>
    <row r="32" spans="1:7" s="480" customFormat="1" ht="12.75" customHeight="1">
      <c r="A32" s="591">
        <v>46</v>
      </c>
      <c r="B32" s="587"/>
      <c r="C32" s="585" t="s">
        <v>451</v>
      </c>
      <c r="D32" s="317">
        <v>377996.50971000001</v>
      </c>
      <c r="E32" s="316">
        <v>397040.2</v>
      </c>
      <c r="F32" s="317">
        <v>381870.598</v>
      </c>
      <c r="G32" s="316">
        <v>400890.45</v>
      </c>
    </row>
    <row r="33" spans="1:7" s="579" customFormat="1" ht="12.75" customHeight="1">
      <c r="A33" s="617" t="s">
        <v>450</v>
      </c>
      <c r="B33" s="586"/>
      <c r="C33" s="616" t="s">
        <v>449</v>
      </c>
      <c r="D33" s="322">
        <v>0</v>
      </c>
      <c r="E33" s="321">
        <v>0</v>
      </c>
      <c r="F33" s="322">
        <v>0</v>
      </c>
      <c r="G33" s="321">
        <v>0</v>
      </c>
    </row>
    <row r="34" spans="1:7" s="480" customFormat="1" ht="15" customHeight="1">
      <c r="A34" s="591">
        <v>47</v>
      </c>
      <c r="B34" s="587"/>
      <c r="C34" s="585" t="s">
        <v>448</v>
      </c>
      <c r="D34" s="317">
        <v>104344.91005000001</v>
      </c>
      <c r="E34" s="316">
        <v>105128.4</v>
      </c>
      <c r="F34" s="317">
        <v>110912.99159999999</v>
      </c>
      <c r="G34" s="316">
        <v>99064.6</v>
      </c>
    </row>
    <row r="35" spans="1:7" s="480" customFormat="1" ht="15" customHeight="1">
      <c r="A35" s="615">
        <v>49</v>
      </c>
      <c r="B35" s="614"/>
      <c r="C35" s="583" t="s">
        <v>447</v>
      </c>
      <c r="D35" s="355">
        <v>357.84025000000003</v>
      </c>
      <c r="E35" s="372">
        <v>334.5</v>
      </c>
      <c r="F35" s="355">
        <v>297</v>
      </c>
      <c r="G35" s="372">
        <v>334.5</v>
      </c>
    </row>
    <row r="36" spans="1:7" ht="13.5" customHeight="1">
      <c r="A36" s="578"/>
      <c r="B36" s="606"/>
      <c r="C36" s="576" t="s">
        <v>446</v>
      </c>
      <c r="D36" s="380">
        <f>D22+D23+D24+D25+D26+D27+D28+D29+D30+D31+D32+D34</f>
        <v>861998.91527</v>
      </c>
      <c r="E36" s="380">
        <f>E22+E23+E24+E25+E26+E27+E28+E29+E30+E31+E32+E34</f>
        <v>883799.9</v>
      </c>
      <c r="F36" s="380">
        <f>F22+F23+F24+F25+F26+F27+F28+F29+F30+F31+F32+F34</f>
        <v>878967.80428999988</v>
      </c>
      <c r="G36" s="380">
        <f>G22+G23+G24+G25+G26+G27+G28+G29+G30+G31+G32+G34</f>
        <v>885431.04999999993</v>
      </c>
    </row>
    <row r="37" spans="1:7" s="667" customFormat="1" ht="15" customHeight="1">
      <c r="A37" s="578"/>
      <c r="B37" s="606"/>
      <c r="C37" s="576" t="s">
        <v>445</v>
      </c>
      <c r="D37" s="380">
        <f>D36-D21</f>
        <v>-6433.6406000000425</v>
      </c>
      <c r="E37" s="380">
        <f>E36-E21</f>
        <v>-8689.3999999999069</v>
      </c>
      <c r="F37" s="380">
        <f>F36-F21</f>
        <v>-1288.8115100000286</v>
      </c>
      <c r="G37" s="380">
        <f>G36-G21</f>
        <v>-7692.5500000000466</v>
      </c>
    </row>
    <row r="38" spans="1:7" s="579" customFormat="1" ht="15" customHeight="1">
      <c r="A38" s="593">
        <v>340</v>
      </c>
      <c r="B38" s="587"/>
      <c r="C38" s="585" t="s">
        <v>444</v>
      </c>
      <c r="D38" s="362">
        <v>4920.2303199999997</v>
      </c>
      <c r="E38" s="316">
        <v>6762.8</v>
      </c>
      <c r="F38" s="362">
        <v>6497.3795099999998</v>
      </c>
      <c r="G38" s="316">
        <v>7235.3</v>
      </c>
    </row>
    <row r="39" spans="1:7" s="579" customFormat="1" ht="15" customHeight="1">
      <c r="A39" s="593">
        <v>341</v>
      </c>
      <c r="B39" s="587"/>
      <c r="C39" s="585" t="s">
        <v>443</v>
      </c>
      <c r="D39" s="317">
        <v>0</v>
      </c>
      <c r="E39" s="316">
        <v>0</v>
      </c>
      <c r="F39" s="317">
        <v>0</v>
      </c>
      <c r="G39" s="316">
        <v>0</v>
      </c>
    </row>
    <row r="40" spans="1:7" s="579" customFormat="1" ht="15" customHeight="1">
      <c r="A40" s="593">
        <v>342</v>
      </c>
      <c r="B40" s="587"/>
      <c r="C40" s="585" t="s">
        <v>442</v>
      </c>
      <c r="D40" s="317">
        <v>3.23055</v>
      </c>
      <c r="E40" s="316">
        <v>3</v>
      </c>
      <c r="F40" s="317">
        <v>53.192500000000003</v>
      </c>
      <c r="G40" s="316">
        <v>3.2</v>
      </c>
    </row>
    <row r="41" spans="1:7" s="579" customFormat="1" ht="15" customHeight="1">
      <c r="A41" s="593">
        <v>343</v>
      </c>
      <c r="B41" s="587"/>
      <c r="C41" s="585" t="s">
        <v>500</v>
      </c>
      <c r="D41" s="317">
        <v>33.697400000000002</v>
      </c>
      <c r="E41" s="316">
        <v>62.5</v>
      </c>
      <c r="F41" s="317">
        <v>45.843449999999997</v>
      </c>
      <c r="G41" s="316">
        <v>56.2</v>
      </c>
    </row>
    <row r="42" spans="1:7" s="579" customFormat="1" ht="15" customHeight="1">
      <c r="A42" s="593">
        <v>344</v>
      </c>
      <c r="B42" s="587"/>
      <c r="C42" s="585" t="s">
        <v>440</v>
      </c>
      <c r="D42" s="317">
        <v>0</v>
      </c>
      <c r="E42" s="316">
        <v>0</v>
      </c>
      <c r="F42" s="317">
        <v>0</v>
      </c>
      <c r="G42" s="316">
        <v>0</v>
      </c>
    </row>
    <row r="43" spans="1:7" s="579" customFormat="1" ht="15" customHeight="1">
      <c r="A43" s="593">
        <v>349</v>
      </c>
      <c r="B43" s="587"/>
      <c r="C43" s="585" t="s">
        <v>439</v>
      </c>
      <c r="D43" s="317">
        <v>0</v>
      </c>
      <c r="E43" s="316">
        <v>0</v>
      </c>
      <c r="F43" s="317">
        <v>0.79390000000000005</v>
      </c>
      <c r="G43" s="316">
        <v>0</v>
      </c>
    </row>
    <row r="44" spans="1:7" s="480" customFormat="1" ht="15" customHeight="1">
      <c r="A44" s="591">
        <v>440</v>
      </c>
      <c r="B44" s="587"/>
      <c r="C44" s="585" t="s">
        <v>438</v>
      </c>
      <c r="D44" s="362">
        <v>2950.6472100000001</v>
      </c>
      <c r="E44" s="316">
        <v>2839.5</v>
      </c>
      <c r="F44" s="362">
        <v>3082.87221</v>
      </c>
      <c r="G44" s="316">
        <v>2974</v>
      </c>
    </row>
    <row r="45" spans="1:7" s="480" customFormat="1" ht="15" customHeight="1">
      <c r="A45" s="591">
        <v>441</v>
      </c>
      <c r="B45" s="587"/>
      <c r="C45" s="585" t="s">
        <v>437</v>
      </c>
      <c r="D45" s="362">
        <v>16.156220000000001</v>
      </c>
      <c r="E45" s="316">
        <v>100</v>
      </c>
      <c r="F45" s="362">
        <v>203.02799999999999</v>
      </c>
      <c r="G45" s="316">
        <v>50</v>
      </c>
    </row>
    <row r="46" spans="1:7" s="480" customFormat="1" ht="15" customHeight="1">
      <c r="A46" s="591">
        <v>442</v>
      </c>
      <c r="B46" s="587"/>
      <c r="C46" s="585" t="s">
        <v>436</v>
      </c>
      <c r="D46" s="362">
        <v>264.84800000000001</v>
      </c>
      <c r="E46" s="316">
        <v>264.8</v>
      </c>
      <c r="F46" s="362">
        <v>277.41199999999998</v>
      </c>
      <c r="G46" s="316">
        <v>278.8</v>
      </c>
    </row>
    <row r="47" spans="1:7" s="480" customFormat="1" ht="15" customHeight="1">
      <c r="A47" s="591">
        <v>443</v>
      </c>
      <c r="B47" s="587"/>
      <c r="C47" s="585" t="s">
        <v>435</v>
      </c>
      <c r="D47" s="362">
        <v>22.908300000000001</v>
      </c>
      <c r="E47" s="316">
        <v>21</v>
      </c>
      <c r="F47" s="362">
        <v>22.785450000000001</v>
      </c>
      <c r="G47" s="316">
        <v>22</v>
      </c>
    </row>
    <row r="48" spans="1:7" s="480" customFormat="1" ht="15" customHeight="1">
      <c r="A48" s="591">
        <v>444</v>
      </c>
      <c r="B48" s="587"/>
      <c r="C48" s="585" t="s">
        <v>434</v>
      </c>
      <c r="D48" s="362">
        <v>0</v>
      </c>
      <c r="E48" s="316">
        <v>0</v>
      </c>
      <c r="F48" s="362">
        <v>0</v>
      </c>
      <c r="G48" s="316">
        <v>0</v>
      </c>
    </row>
    <row r="49" spans="1:7" s="480" customFormat="1" ht="15" customHeight="1">
      <c r="A49" s="591">
        <v>445</v>
      </c>
      <c r="B49" s="587"/>
      <c r="C49" s="585" t="s">
        <v>433</v>
      </c>
      <c r="D49" s="362">
        <v>2710.84</v>
      </c>
      <c r="E49" s="807">
        <v>2708</v>
      </c>
      <c r="F49" s="362">
        <v>2887.04</v>
      </c>
      <c r="G49" s="316">
        <v>2861</v>
      </c>
    </row>
    <row r="50" spans="1:7" s="480" customFormat="1" ht="15" customHeight="1">
      <c r="A50" s="591">
        <v>446</v>
      </c>
      <c r="B50" s="587"/>
      <c r="C50" s="585" t="s">
        <v>432</v>
      </c>
      <c r="D50" s="362">
        <v>965.76</v>
      </c>
      <c r="E50" s="807">
        <v>982.3</v>
      </c>
      <c r="F50" s="362">
        <v>987.5</v>
      </c>
      <c r="G50" s="316">
        <v>1187.3</v>
      </c>
    </row>
    <row r="51" spans="1:7" s="480" customFormat="1" ht="15" customHeight="1">
      <c r="A51" s="591">
        <v>447</v>
      </c>
      <c r="B51" s="587"/>
      <c r="C51" s="585" t="s">
        <v>431</v>
      </c>
      <c r="D51" s="362">
        <v>2233.0079500000002</v>
      </c>
      <c r="E51" s="316">
        <v>2246.9</v>
      </c>
      <c r="F51" s="362">
        <v>2313.3676</v>
      </c>
      <c r="G51" s="316">
        <v>2480.8000000000002</v>
      </c>
    </row>
    <row r="52" spans="1:7" s="480" customFormat="1" ht="15" customHeight="1">
      <c r="A52" s="591">
        <v>448</v>
      </c>
      <c r="B52" s="587"/>
      <c r="C52" s="585" t="s">
        <v>430</v>
      </c>
      <c r="D52" s="362">
        <v>0</v>
      </c>
      <c r="E52" s="316">
        <v>0</v>
      </c>
      <c r="F52" s="362">
        <v>0</v>
      </c>
      <c r="G52" s="316">
        <v>0</v>
      </c>
    </row>
    <row r="53" spans="1:7" s="480" customFormat="1" ht="15" customHeight="1">
      <c r="A53" s="591">
        <v>449</v>
      </c>
      <c r="B53" s="587"/>
      <c r="C53" s="585" t="s">
        <v>429</v>
      </c>
      <c r="D53" s="362">
        <v>0</v>
      </c>
      <c r="E53" s="316">
        <v>0</v>
      </c>
      <c r="F53" s="362">
        <v>0</v>
      </c>
      <c r="G53" s="316">
        <v>0</v>
      </c>
    </row>
    <row r="54" spans="1:7" s="579" customFormat="1" ht="13.5" customHeight="1">
      <c r="A54" s="607" t="s">
        <v>428</v>
      </c>
      <c r="B54" s="580"/>
      <c r="C54" s="580" t="s">
        <v>427</v>
      </c>
      <c r="D54" s="418">
        <v>0</v>
      </c>
      <c r="E54" s="299">
        <v>0</v>
      </c>
      <c r="F54" s="418">
        <v>0</v>
      </c>
      <c r="G54" s="299">
        <v>0</v>
      </c>
    </row>
    <row r="55" spans="1:7" ht="15" customHeight="1">
      <c r="A55" s="606"/>
      <c r="B55" s="606"/>
      <c r="C55" s="576" t="s">
        <v>426</v>
      </c>
      <c r="D55" s="380">
        <f>SUM(D44:D53)-SUM(D38:D43)</f>
        <v>4207.0094100000006</v>
      </c>
      <c r="E55" s="380">
        <f>SUM(E44:E53)-SUM(E38:E43)</f>
        <v>2334.1999999999998</v>
      </c>
      <c r="F55" s="380">
        <f>SUM(F44:F53)-SUM(F38:F43)</f>
        <v>3176.7959000000001</v>
      </c>
      <c r="G55" s="380">
        <f>SUM(G44:G53)-SUM(G38:G43)</f>
        <v>2559.2000000000016</v>
      </c>
    </row>
    <row r="56" spans="1:7" ht="14.25" customHeight="1">
      <c r="A56" s="606"/>
      <c r="B56" s="606"/>
      <c r="C56" s="576" t="s">
        <v>425</v>
      </c>
      <c r="D56" s="380">
        <f>D55+D37</f>
        <v>-2226.6311900000419</v>
      </c>
      <c r="E56" s="380">
        <f>E55+E37</f>
        <v>-6355.199999999907</v>
      </c>
      <c r="F56" s="380">
        <f>F55+F37</f>
        <v>1887.9843899999714</v>
      </c>
      <c r="G56" s="380">
        <f>G55+G37</f>
        <v>-5133.3500000000449</v>
      </c>
    </row>
    <row r="57" spans="1:7" s="480" customFormat="1" ht="15.75" customHeight="1">
      <c r="A57" s="605">
        <v>380</v>
      </c>
      <c r="B57" s="604"/>
      <c r="C57" s="603" t="s">
        <v>424</v>
      </c>
      <c r="D57" s="602">
        <v>0</v>
      </c>
      <c r="E57" s="601">
        <v>0</v>
      </c>
      <c r="F57" s="602">
        <v>0</v>
      </c>
      <c r="G57" s="601">
        <v>0</v>
      </c>
    </row>
    <row r="58" spans="1:7" s="480" customFormat="1" ht="15.75" customHeight="1">
      <c r="A58" s="605">
        <v>381</v>
      </c>
      <c r="B58" s="604"/>
      <c r="C58" s="603" t="s">
        <v>423</v>
      </c>
      <c r="D58" s="602">
        <v>0</v>
      </c>
      <c r="E58" s="601">
        <v>0</v>
      </c>
      <c r="F58" s="602">
        <v>0</v>
      </c>
      <c r="G58" s="601">
        <v>0</v>
      </c>
    </row>
    <row r="59" spans="1:7" s="579" customFormat="1" ht="25.5">
      <c r="A59" s="597">
        <v>383</v>
      </c>
      <c r="B59" s="596"/>
      <c r="C59" s="589" t="s">
        <v>422</v>
      </c>
      <c r="D59" s="409">
        <v>0</v>
      </c>
      <c r="E59" s="342">
        <v>0</v>
      </c>
      <c r="F59" s="409">
        <v>0</v>
      </c>
      <c r="G59" s="342">
        <v>0</v>
      </c>
    </row>
    <row r="60" spans="1:7" s="579" customFormat="1">
      <c r="A60" s="597">
        <v>3840</v>
      </c>
      <c r="B60" s="596"/>
      <c r="C60" s="589" t="s">
        <v>421</v>
      </c>
      <c r="D60" s="401">
        <v>0</v>
      </c>
      <c r="E60" s="400">
        <v>0</v>
      </c>
      <c r="F60" s="401">
        <v>0</v>
      </c>
      <c r="G60" s="400">
        <v>0</v>
      </c>
    </row>
    <row r="61" spans="1:7" s="579" customFormat="1" ht="25.5">
      <c r="A61" s="597">
        <v>3841</v>
      </c>
      <c r="B61" s="596"/>
      <c r="C61" s="589" t="s">
        <v>420</v>
      </c>
      <c r="D61" s="401">
        <v>0</v>
      </c>
      <c r="E61" s="400">
        <v>0</v>
      </c>
      <c r="F61" s="401">
        <v>0</v>
      </c>
      <c r="G61" s="400">
        <v>0</v>
      </c>
    </row>
    <row r="62" spans="1:7" s="579" customFormat="1">
      <c r="A62" s="600">
        <v>386</v>
      </c>
      <c r="B62" s="599"/>
      <c r="C62" s="598" t="s">
        <v>419</v>
      </c>
      <c r="D62" s="401">
        <v>0</v>
      </c>
      <c r="E62" s="400">
        <v>0</v>
      </c>
      <c r="F62" s="401">
        <v>0</v>
      </c>
      <c r="G62" s="400">
        <v>0</v>
      </c>
    </row>
    <row r="63" spans="1:7" s="579" customFormat="1" ht="25.5">
      <c r="A63" s="597">
        <v>387</v>
      </c>
      <c r="B63" s="596"/>
      <c r="C63" s="589" t="s">
        <v>418</v>
      </c>
      <c r="D63" s="401">
        <v>0</v>
      </c>
      <c r="E63" s="400">
        <v>0</v>
      </c>
      <c r="F63" s="401">
        <v>0</v>
      </c>
      <c r="G63" s="400">
        <v>0</v>
      </c>
    </row>
    <row r="64" spans="1:7" s="579" customFormat="1">
      <c r="A64" s="593">
        <v>389</v>
      </c>
      <c r="B64" s="592"/>
      <c r="C64" s="585" t="s">
        <v>417</v>
      </c>
      <c r="D64" s="317">
        <v>0</v>
      </c>
      <c r="E64" s="316">
        <v>0</v>
      </c>
      <c r="F64" s="317">
        <v>2500</v>
      </c>
      <c r="G64" s="400">
        <v>0</v>
      </c>
    </row>
    <row r="65" spans="1:7" s="480" customFormat="1">
      <c r="A65" s="806" t="s">
        <v>181</v>
      </c>
      <c r="B65" s="587"/>
      <c r="C65" s="585" t="s">
        <v>416</v>
      </c>
      <c r="D65" s="317">
        <v>675.27229999999997</v>
      </c>
      <c r="E65" s="316">
        <v>900</v>
      </c>
      <c r="F65" s="317">
        <v>1111.68965</v>
      </c>
      <c r="G65" s="400">
        <v>1060</v>
      </c>
    </row>
    <row r="66" spans="1:7" s="588" customFormat="1" ht="25.5">
      <c r="A66" s="597" t="s">
        <v>179</v>
      </c>
      <c r="B66" s="590"/>
      <c r="C66" s="589" t="s">
        <v>415</v>
      </c>
      <c r="D66" s="343">
        <v>12.723929999999999</v>
      </c>
      <c r="E66" s="342">
        <v>7</v>
      </c>
      <c r="F66" s="343">
        <v>7.3640999999999996</v>
      </c>
      <c r="G66" s="400">
        <v>1</v>
      </c>
    </row>
    <row r="67" spans="1:7" s="480" customFormat="1">
      <c r="A67" s="804">
        <v>481</v>
      </c>
      <c r="B67" s="587"/>
      <c r="C67" s="585" t="s">
        <v>414</v>
      </c>
      <c r="D67" s="317">
        <v>0</v>
      </c>
      <c r="E67" s="316">
        <v>0</v>
      </c>
      <c r="F67" s="317">
        <v>0</v>
      </c>
      <c r="G67" s="400">
        <v>0</v>
      </c>
    </row>
    <row r="68" spans="1:7" s="480" customFormat="1">
      <c r="A68" s="804">
        <v>482</v>
      </c>
      <c r="B68" s="587"/>
      <c r="C68" s="585" t="s">
        <v>413</v>
      </c>
      <c r="D68" s="317">
        <v>0</v>
      </c>
      <c r="E68" s="316">
        <v>0</v>
      </c>
      <c r="F68" s="317">
        <v>0</v>
      </c>
      <c r="G68" s="400">
        <v>0</v>
      </c>
    </row>
    <row r="69" spans="1:7" s="480" customFormat="1">
      <c r="A69" s="804">
        <v>483</v>
      </c>
      <c r="B69" s="587"/>
      <c r="C69" s="585" t="s">
        <v>412</v>
      </c>
      <c r="D69" s="317">
        <v>0</v>
      </c>
      <c r="E69" s="316">
        <v>0</v>
      </c>
      <c r="F69" s="317">
        <v>0</v>
      </c>
      <c r="G69" s="400">
        <v>0</v>
      </c>
    </row>
    <row r="70" spans="1:7" s="480" customFormat="1">
      <c r="A70" s="804">
        <v>484</v>
      </c>
      <c r="B70" s="587"/>
      <c r="C70" s="585" t="s">
        <v>411</v>
      </c>
      <c r="D70" s="317">
        <v>0</v>
      </c>
      <c r="E70" s="316">
        <v>0</v>
      </c>
      <c r="F70" s="317">
        <v>0</v>
      </c>
      <c r="G70" s="400">
        <v>0</v>
      </c>
    </row>
    <row r="71" spans="1:7" s="480" customFormat="1">
      <c r="A71" s="804">
        <v>485</v>
      </c>
      <c r="B71" s="587"/>
      <c r="C71" s="585" t="s">
        <v>410</v>
      </c>
      <c r="D71" s="317">
        <v>0</v>
      </c>
      <c r="E71" s="316">
        <v>0</v>
      </c>
      <c r="F71" s="317">
        <v>0</v>
      </c>
      <c r="G71" s="400">
        <v>0</v>
      </c>
    </row>
    <row r="72" spans="1:7" s="480" customFormat="1">
      <c r="A72" s="804">
        <v>486</v>
      </c>
      <c r="B72" s="587"/>
      <c r="C72" s="585" t="s">
        <v>409</v>
      </c>
      <c r="D72" s="317">
        <v>0</v>
      </c>
      <c r="E72" s="316">
        <v>0</v>
      </c>
      <c r="F72" s="317">
        <v>0</v>
      </c>
      <c r="G72" s="400">
        <v>0</v>
      </c>
    </row>
    <row r="73" spans="1:7" s="579" customFormat="1" ht="25.5">
      <c r="A73" s="804">
        <v>487</v>
      </c>
      <c r="B73" s="805"/>
      <c r="C73" s="589" t="s">
        <v>408</v>
      </c>
      <c r="D73" s="409">
        <v>0</v>
      </c>
      <c r="E73" s="342">
        <v>0</v>
      </c>
      <c r="F73" s="409">
        <v>0</v>
      </c>
      <c r="G73" s="400">
        <v>0</v>
      </c>
    </row>
    <row r="74" spans="1:7" s="579" customFormat="1">
      <c r="A74" s="804">
        <v>489</v>
      </c>
      <c r="B74" s="581"/>
      <c r="C74" s="583" t="s">
        <v>407</v>
      </c>
      <c r="D74" s="409">
        <v>0</v>
      </c>
      <c r="E74" s="342">
        <v>0</v>
      </c>
      <c r="F74" s="409">
        <v>0</v>
      </c>
      <c r="G74" s="342">
        <v>0</v>
      </c>
    </row>
    <row r="75" spans="1:7" s="579" customFormat="1">
      <c r="A75" s="582" t="s">
        <v>406</v>
      </c>
      <c r="B75" s="581"/>
      <c r="C75" s="583" t="s">
        <v>405</v>
      </c>
      <c r="D75" s="317">
        <v>0</v>
      </c>
      <c r="E75" s="316">
        <v>0</v>
      </c>
      <c r="F75" s="317">
        <v>0</v>
      </c>
      <c r="G75" s="316">
        <v>0</v>
      </c>
    </row>
    <row r="76" spans="1:7">
      <c r="A76" s="578"/>
      <c r="B76" s="578"/>
      <c r="C76" s="576" t="s">
        <v>404</v>
      </c>
      <c r="D76" s="380">
        <f>SUM(D65:D74)-SUM(D57:D64)</f>
        <v>687.99622999999997</v>
      </c>
      <c r="E76" s="380">
        <f>SUM(E65:E74)-SUM(E57:E64)</f>
        <v>907</v>
      </c>
      <c r="F76" s="380">
        <f>SUM(F65:F74)-SUM(F57:F64)</f>
        <v>-1380.94625</v>
      </c>
      <c r="G76" s="380">
        <f>SUM(G65:G74)-SUM(G57:G64)</f>
        <v>1061</v>
      </c>
    </row>
    <row r="77" spans="1:7">
      <c r="A77" s="577"/>
      <c r="B77" s="577"/>
      <c r="C77" s="576" t="s">
        <v>403</v>
      </c>
      <c r="D77" s="380">
        <f>D56+D76</f>
        <v>-1538.6349600000419</v>
      </c>
      <c r="E77" s="380">
        <f>E56+E76</f>
        <v>-5448.199999999907</v>
      </c>
      <c r="F77" s="380">
        <f>F56+F76</f>
        <v>507.03813999997146</v>
      </c>
      <c r="G77" s="380">
        <f>G56+G76</f>
        <v>-4072.3500000000449</v>
      </c>
    </row>
    <row r="78" spans="1:7">
      <c r="A78" s="575">
        <v>3</v>
      </c>
      <c r="B78" s="575"/>
      <c r="C78" s="574" t="s">
        <v>165</v>
      </c>
      <c r="D78" s="377">
        <f>D20+D21+SUM(D38:D43)+SUM(D57:D64)</f>
        <v>873747.55439000006</v>
      </c>
      <c r="E78" s="377">
        <f>E20+E21+SUM(E38:E43)+SUM(E57:E64)</f>
        <v>899652.1</v>
      </c>
      <c r="F78" s="377">
        <f>F20+F21+SUM(F38:F43)+SUM(F57:F64)</f>
        <v>889650.82515999989</v>
      </c>
      <c r="G78" s="377">
        <f>G20+G21+SUM(G38:G43)+SUM(G57:G64)</f>
        <v>900752.79999999993</v>
      </c>
    </row>
    <row r="79" spans="1:7">
      <c r="A79" s="575">
        <v>4</v>
      </c>
      <c r="B79" s="575"/>
      <c r="C79" s="574" t="s">
        <v>164</v>
      </c>
      <c r="D79" s="377">
        <f>D35+D36+SUM(D44:D53)+SUM(D65:D74)</f>
        <v>872208.91943000001</v>
      </c>
      <c r="E79" s="377">
        <f>E35+E36+SUM(E44:E53)+SUM(E65:E74)</f>
        <v>894203.9</v>
      </c>
      <c r="F79" s="377">
        <f>F35+F36+SUM(F44:F53)+SUM(F65:F74)</f>
        <v>890157.86329999985</v>
      </c>
      <c r="G79" s="377">
        <f>G35+G36+SUM(G44:G53)+SUM(G65:G74)</f>
        <v>896680.45</v>
      </c>
    </row>
    <row r="80" spans="1:7">
      <c r="A80" s="534"/>
      <c r="B80" s="534"/>
      <c r="C80" s="533"/>
      <c r="D80" s="260"/>
      <c r="E80" s="260"/>
      <c r="F80" s="260"/>
      <c r="G80" s="260"/>
    </row>
    <row r="81" spans="1:7">
      <c r="A81" s="951" t="s">
        <v>402</v>
      </c>
      <c r="B81" s="952"/>
      <c r="C81" s="952"/>
      <c r="D81" s="376"/>
      <c r="E81" s="375"/>
      <c r="F81" s="376"/>
      <c r="G81" s="375"/>
    </row>
    <row r="82" spans="1:7" s="480" customFormat="1">
      <c r="A82" s="567">
        <v>50</v>
      </c>
      <c r="B82" s="565"/>
      <c r="C82" s="565" t="s">
        <v>401</v>
      </c>
      <c r="D82" s="317">
        <v>31830.177780000002</v>
      </c>
      <c r="E82" s="316">
        <v>29802</v>
      </c>
      <c r="F82" s="317">
        <v>29438.29523</v>
      </c>
      <c r="G82" s="316">
        <v>31750.5</v>
      </c>
    </row>
    <row r="83" spans="1:7" s="480" customFormat="1">
      <c r="A83" s="567">
        <v>51</v>
      </c>
      <c r="B83" s="565"/>
      <c r="C83" s="565" t="s">
        <v>400</v>
      </c>
      <c r="D83" s="317">
        <v>0</v>
      </c>
      <c r="E83" s="316">
        <v>0</v>
      </c>
      <c r="F83" s="317">
        <v>0</v>
      </c>
      <c r="G83" s="316">
        <v>0</v>
      </c>
    </row>
    <row r="84" spans="1:7" s="480" customFormat="1">
      <c r="A84" s="567">
        <v>52</v>
      </c>
      <c r="B84" s="565"/>
      <c r="C84" s="565" t="s">
        <v>399</v>
      </c>
      <c r="D84" s="317">
        <v>0</v>
      </c>
      <c r="E84" s="316">
        <v>0</v>
      </c>
      <c r="F84" s="317">
        <v>0</v>
      </c>
      <c r="G84" s="316">
        <v>0</v>
      </c>
    </row>
    <row r="85" spans="1:7" s="480" customFormat="1">
      <c r="A85" s="571">
        <v>54</v>
      </c>
      <c r="B85" s="570"/>
      <c r="C85" s="570" t="s">
        <v>363</v>
      </c>
      <c r="D85" s="317">
        <v>859.05499999999995</v>
      </c>
      <c r="E85" s="316">
        <v>1000</v>
      </c>
      <c r="F85" s="317">
        <v>928.02499999999998</v>
      </c>
      <c r="G85" s="316">
        <v>1396</v>
      </c>
    </row>
    <row r="86" spans="1:7" s="480" customFormat="1">
      <c r="A86" s="571">
        <v>55</v>
      </c>
      <c r="B86" s="570"/>
      <c r="C86" s="570" t="s">
        <v>398</v>
      </c>
      <c r="D86" s="317">
        <v>400</v>
      </c>
      <c r="E86" s="316">
        <v>0</v>
      </c>
      <c r="F86" s="317">
        <v>200</v>
      </c>
      <c r="G86" s="316">
        <v>150</v>
      </c>
    </row>
    <row r="87" spans="1:7" s="480" customFormat="1">
      <c r="A87" s="571">
        <v>56</v>
      </c>
      <c r="B87" s="570"/>
      <c r="C87" s="570" t="s">
        <v>397</v>
      </c>
      <c r="D87" s="317">
        <v>10843.3609</v>
      </c>
      <c r="E87" s="316">
        <v>12853</v>
      </c>
      <c r="F87" s="317">
        <v>10992.667750000001</v>
      </c>
      <c r="G87" s="316">
        <v>10695</v>
      </c>
    </row>
    <row r="88" spans="1:7" s="480" customFormat="1">
      <c r="A88" s="567">
        <v>57</v>
      </c>
      <c r="B88" s="565"/>
      <c r="C88" s="565" t="s">
        <v>382</v>
      </c>
      <c r="D88" s="317">
        <v>11654.79075</v>
      </c>
      <c r="E88" s="316">
        <v>8093.9</v>
      </c>
      <c r="F88" s="317">
        <v>11948.96185</v>
      </c>
      <c r="G88" s="316">
        <v>7513.8</v>
      </c>
    </row>
    <row r="89" spans="1:7" s="480" customFormat="1">
      <c r="A89" s="567">
        <v>580</v>
      </c>
      <c r="B89" s="565"/>
      <c r="C89" s="565" t="s">
        <v>396</v>
      </c>
      <c r="D89" s="317">
        <v>0</v>
      </c>
      <c r="E89" s="316">
        <v>0</v>
      </c>
      <c r="F89" s="317">
        <v>0</v>
      </c>
      <c r="G89" s="316">
        <v>0</v>
      </c>
    </row>
    <row r="90" spans="1:7" s="480" customFormat="1">
      <c r="A90" s="567">
        <v>582</v>
      </c>
      <c r="B90" s="565"/>
      <c r="C90" s="565" t="s">
        <v>395</v>
      </c>
      <c r="D90" s="317">
        <v>0</v>
      </c>
      <c r="E90" s="316">
        <v>0</v>
      </c>
      <c r="F90" s="317">
        <v>0</v>
      </c>
      <c r="G90" s="316">
        <v>0</v>
      </c>
    </row>
    <row r="91" spans="1:7" s="480" customFormat="1">
      <c r="A91" s="567">
        <v>584</v>
      </c>
      <c r="B91" s="565"/>
      <c r="C91" s="565" t="s">
        <v>394</v>
      </c>
      <c r="D91" s="317">
        <v>0</v>
      </c>
      <c r="E91" s="316">
        <v>0</v>
      </c>
      <c r="F91" s="317">
        <v>0</v>
      </c>
      <c r="G91" s="316">
        <v>0</v>
      </c>
    </row>
    <row r="92" spans="1:7" s="480" customFormat="1">
      <c r="A92" s="567">
        <v>585</v>
      </c>
      <c r="B92" s="565"/>
      <c r="C92" s="565" t="s">
        <v>393</v>
      </c>
      <c r="D92" s="317">
        <v>0</v>
      </c>
      <c r="E92" s="316">
        <v>0</v>
      </c>
      <c r="F92" s="317">
        <v>0</v>
      </c>
      <c r="G92" s="316">
        <v>0</v>
      </c>
    </row>
    <row r="93" spans="1:7" s="480" customFormat="1">
      <c r="A93" s="567">
        <v>586</v>
      </c>
      <c r="B93" s="565"/>
      <c r="C93" s="565" t="s">
        <v>392</v>
      </c>
      <c r="D93" s="317">
        <v>41.070999999999998</v>
      </c>
      <c r="E93" s="316">
        <v>10</v>
      </c>
      <c r="F93" s="317">
        <v>64.543999999999997</v>
      </c>
      <c r="G93" s="316">
        <v>60</v>
      </c>
    </row>
    <row r="94" spans="1:7" s="480" customFormat="1">
      <c r="A94" s="568">
        <v>589</v>
      </c>
      <c r="B94" s="561"/>
      <c r="C94" s="561" t="s">
        <v>391</v>
      </c>
      <c r="D94" s="333">
        <v>0</v>
      </c>
      <c r="E94" s="372">
        <v>0</v>
      </c>
      <c r="F94" s="333">
        <v>0</v>
      </c>
      <c r="G94" s="372">
        <v>0</v>
      </c>
    </row>
    <row r="95" spans="1:7">
      <c r="A95" s="557">
        <v>5</v>
      </c>
      <c r="B95" s="555"/>
      <c r="C95" s="555" t="s">
        <v>390</v>
      </c>
      <c r="D95" s="348">
        <f>SUM(D82:D94)</f>
        <v>55628.455430000009</v>
      </c>
      <c r="E95" s="348">
        <f>SUM(E82:E94)</f>
        <v>51758.9</v>
      </c>
      <c r="F95" s="348">
        <f>SUM(F82:F94)</f>
        <v>53572.493830000007</v>
      </c>
      <c r="G95" s="348">
        <f>SUM(G82:G94)</f>
        <v>51565.3</v>
      </c>
    </row>
    <row r="96" spans="1:7" s="480" customFormat="1">
      <c r="A96" s="567">
        <v>60</v>
      </c>
      <c r="B96" s="565"/>
      <c r="C96" s="565" t="s">
        <v>389</v>
      </c>
      <c r="D96" s="317">
        <v>0</v>
      </c>
      <c r="E96" s="316">
        <v>0</v>
      </c>
      <c r="F96" s="317">
        <v>16.0794</v>
      </c>
      <c r="G96" s="316">
        <v>0</v>
      </c>
    </row>
    <row r="97" spans="1:7" s="480" customFormat="1">
      <c r="A97" s="567">
        <v>61</v>
      </c>
      <c r="B97" s="565"/>
      <c r="C97" s="565" t="s">
        <v>388</v>
      </c>
      <c r="D97" s="317">
        <v>0</v>
      </c>
      <c r="E97" s="316">
        <v>0</v>
      </c>
      <c r="F97" s="317">
        <v>49.676000000000002</v>
      </c>
      <c r="G97" s="316">
        <v>0</v>
      </c>
    </row>
    <row r="98" spans="1:7" s="480" customFormat="1">
      <c r="A98" s="567">
        <v>62</v>
      </c>
      <c r="B98" s="565"/>
      <c r="C98" s="565" t="s">
        <v>387</v>
      </c>
      <c r="D98" s="317">
        <v>0</v>
      </c>
      <c r="E98" s="316">
        <v>0</v>
      </c>
      <c r="F98" s="317">
        <v>0</v>
      </c>
      <c r="G98" s="316">
        <v>0</v>
      </c>
    </row>
    <row r="99" spans="1:7" s="480" customFormat="1">
      <c r="A99" s="567">
        <v>63</v>
      </c>
      <c r="B99" s="565"/>
      <c r="C99" s="565" t="s">
        <v>386</v>
      </c>
      <c r="D99" s="317">
        <v>3781.0079500000002</v>
      </c>
      <c r="E99" s="316">
        <v>1809.8</v>
      </c>
      <c r="F99" s="317">
        <v>1840.1222</v>
      </c>
      <c r="G99" s="316">
        <v>2028.3</v>
      </c>
    </row>
    <row r="100" spans="1:7" s="480" customFormat="1">
      <c r="A100" s="567">
        <v>64</v>
      </c>
      <c r="B100" s="565"/>
      <c r="C100" s="565" t="s">
        <v>385</v>
      </c>
      <c r="D100" s="317">
        <v>2316.6300500000002</v>
      </c>
      <c r="E100" s="316">
        <v>2660.7</v>
      </c>
      <c r="F100" s="317">
        <v>2428.1297500000001</v>
      </c>
      <c r="G100" s="316">
        <v>2374.5</v>
      </c>
    </row>
    <row r="101" spans="1:7" s="480" customFormat="1">
      <c r="A101" s="567">
        <v>65</v>
      </c>
      <c r="B101" s="565"/>
      <c r="C101" s="565" t="s">
        <v>384</v>
      </c>
      <c r="D101" s="317">
        <v>0</v>
      </c>
      <c r="E101" s="316">
        <v>0</v>
      </c>
      <c r="F101" s="317">
        <v>0</v>
      </c>
      <c r="G101" s="316">
        <v>0</v>
      </c>
    </row>
    <row r="102" spans="1:7" s="480" customFormat="1">
      <c r="A102" s="567">
        <v>66</v>
      </c>
      <c r="B102" s="565"/>
      <c r="C102" s="565" t="s">
        <v>383</v>
      </c>
      <c r="D102" s="317">
        <v>2.2810000000000001</v>
      </c>
      <c r="E102" s="316">
        <v>10</v>
      </c>
      <c r="F102" s="317">
        <v>50.716999999999999</v>
      </c>
      <c r="G102" s="316">
        <v>40</v>
      </c>
    </row>
    <row r="103" spans="1:7" s="480" customFormat="1">
      <c r="A103" s="567">
        <v>67</v>
      </c>
      <c r="B103" s="565"/>
      <c r="C103" s="565" t="s">
        <v>382</v>
      </c>
      <c r="D103" s="362">
        <v>11654.79075</v>
      </c>
      <c r="E103" s="361">
        <v>8093.9</v>
      </c>
      <c r="F103" s="362">
        <v>11948.96185</v>
      </c>
      <c r="G103" s="361">
        <v>7513.8</v>
      </c>
    </row>
    <row r="104" spans="1:7" s="480" customFormat="1" ht="38.25">
      <c r="A104" s="566" t="s">
        <v>142</v>
      </c>
      <c r="B104" s="565"/>
      <c r="C104" s="564" t="s">
        <v>381</v>
      </c>
      <c r="D104" s="362">
        <v>0</v>
      </c>
      <c r="E104" s="361">
        <v>0</v>
      </c>
      <c r="F104" s="362">
        <v>0</v>
      </c>
      <c r="G104" s="361">
        <v>0</v>
      </c>
    </row>
    <row r="105" spans="1:7" s="588" customFormat="1" ht="54" customHeight="1">
      <c r="A105" s="562" t="s">
        <v>380</v>
      </c>
      <c r="B105" s="721"/>
      <c r="C105" s="560" t="s">
        <v>379</v>
      </c>
      <c r="D105" s="559">
        <v>0</v>
      </c>
      <c r="E105" s="558">
        <v>500</v>
      </c>
      <c r="F105" s="559">
        <v>319.82</v>
      </c>
      <c r="G105" s="558">
        <v>120</v>
      </c>
    </row>
    <row r="106" spans="1:7">
      <c r="A106" s="557">
        <v>6</v>
      </c>
      <c r="B106" s="555"/>
      <c r="C106" s="555" t="s">
        <v>378</v>
      </c>
      <c r="D106" s="348">
        <f>SUM(D96:D105)</f>
        <v>17754.709750000002</v>
      </c>
      <c r="E106" s="348">
        <f>SUM(E96:E105)</f>
        <v>13074.4</v>
      </c>
      <c r="F106" s="348">
        <f>SUM(F96:F105)</f>
        <v>16653.5062</v>
      </c>
      <c r="G106" s="348">
        <f>SUM(G96:G105)</f>
        <v>12076.6</v>
      </c>
    </row>
    <row r="107" spans="1:7">
      <c r="A107" s="556" t="s">
        <v>137</v>
      </c>
      <c r="B107" s="556"/>
      <c r="C107" s="555" t="s">
        <v>4</v>
      </c>
      <c r="D107" s="348">
        <f>(D95-D88)-(D106-D103)</f>
        <v>37873.745680000007</v>
      </c>
      <c r="E107" s="348">
        <f>(E95-E88)-(E106-E103)</f>
        <v>38684.5</v>
      </c>
      <c r="F107" s="348">
        <f>(F95-F88)-(F106-F103)</f>
        <v>36918.987630000003</v>
      </c>
      <c r="G107" s="348">
        <f>(G95-G88)-(G106-G103)</f>
        <v>39488.699999999997</v>
      </c>
    </row>
    <row r="108" spans="1:7">
      <c r="A108" s="554" t="s">
        <v>136</v>
      </c>
      <c r="B108" s="554"/>
      <c r="C108" s="553" t="s">
        <v>377</v>
      </c>
      <c r="D108" s="552">
        <f>D107-D85-D86+D100+D101</f>
        <v>38931.320730000007</v>
      </c>
      <c r="E108" s="552">
        <f>E107-E85-E86+E100+E101</f>
        <v>40345.199999999997</v>
      </c>
      <c r="F108" s="552">
        <f>F107-F85-F86+F100+F101</f>
        <v>38219.092380000002</v>
      </c>
      <c r="G108" s="552">
        <f>G107-G85-G86+G100+G101</f>
        <v>40317.199999999997</v>
      </c>
    </row>
    <row r="109" spans="1:7">
      <c r="A109" s="534"/>
      <c r="B109" s="534"/>
      <c r="C109" s="533"/>
      <c r="D109" s="260"/>
      <c r="E109" s="260"/>
      <c r="F109" s="260"/>
      <c r="G109" s="260"/>
    </row>
    <row r="110" spans="1:7" s="512" customFormat="1">
      <c r="A110" s="550" t="s">
        <v>134</v>
      </c>
      <c r="B110" s="551"/>
      <c r="C110" s="550"/>
      <c r="D110" s="260"/>
      <c r="E110" s="260"/>
      <c r="F110" s="260"/>
      <c r="G110" s="260"/>
    </row>
    <row r="111" spans="1:7" s="516" customFormat="1">
      <c r="A111" s="532">
        <v>10</v>
      </c>
      <c r="B111" s="531"/>
      <c r="C111" s="531" t="s">
        <v>375</v>
      </c>
      <c r="D111" s="327">
        <f>D112+D117</f>
        <v>261013.89446000001</v>
      </c>
      <c r="E111" s="326">
        <f>E112+E117</f>
        <v>0</v>
      </c>
      <c r="F111" s="327">
        <f>F112+F117</f>
        <v>242397.88986999998</v>
      </c>
      <c r="G111" s="326">
        <f>G112+G117</f>
        <v>0</v>
      </c>
    </row>
    <row r="112" spans="1:7" s="516" customFormat="1">
      <c r="A112" s="539" t="s">
        <v>132</v>
      </c>
      <c r="B112" s="519"/>
      <c r="C112" s="519" t="s">
        <v>374</v>
      </c>
      <c r="D112" s="327">
        <f>D113+D114+D115+D116</f>
        <v>252300.66956000001</v>
      </c>
      <c r="E112" s="326">
        <f>E113+E114+E115+E116</f>
        <v>0</v>
      </c>
      <c r="F112" s="327">
        <f>F113+F114+F115+F116</f>
        <v>233285.31961999999</v>
      </c>
      <c r="G112" s="326">
        <f>G113+G114+G115+G116</f>
        <v>0</v>
      </c>
    </row>
    <row r="113" spans="1:7" s="516" customFormat="1">
      <c r="A113" s="537" t="s">
        <v>130</v>
      </c>
      <c r="B113" s="526"/>
      <c r="C113" s="526" t="s">
        <v>373</v>
      </c>
      <c r="D113" s="317">
        <f>8416.85358+201092.19167</f>
        <v>209509.04525</v>
      </c>
      <c r="E113" s="316"/>
      <c r="F113" s="317">
        <v>191197.36916999999</v>
      </c>
      <c r="G113" s="316"/>
    </row>
    <row r="114" spans="1:7" s="546" customFormat="1" ht="15" customHeight="1">
      <c r="A114" s="524">
        <v>102</v>
      </c>
      <c r="B114" s="665"/>
      <c r="C114" s="665" t="s">
        <v>372</v>
      </c>
      <c r="D114" s="343">
        <v>0</v>
      </c>
      <c r="E114" s="342"/>
      <c r="F114" s="343">
        <v>0</v>
      </c>
      <c r="G114" s="342"/>
    </row>
    <row r="115" spans="1:7" s="516" customFormat="1">
      <c r="A115" s="537">
        <v>104</v>
      </c>
      <c r="B115" s="526"/>
      <c r="C115" s="526" t="s">
        <v>371</v>
      </c>
      <c r="D115" s="317">
        <f>42643.16146</f>
        <v>42643.161460000003</v>
      </c>
      <c r="E115" s="316"/>
      <c r="F115" s="317">
        <v>42001.375549999997</v>
      </c>
      <c r="G115" s="316"/>
    </row>
    <row r="116" spans="1:7" s="516" customFormat="1">
      <c r="A116" s="537">
        <v>106</v>
      </c>
      <c r="B116" s="526"/>
      <c r="C116" s="526" t="s">
        <v>370</v>
      </c>
      <c r="D116" s="317">
        <v>148.46285</v>
      </c>
      <c r="E116" s="316"/>
      <c r="F116" s="317">
        <v>86.5749</v>
      </c>
      <c r="G116" s="316"/>
    </row>
    <row r="117" spans="1:7" s="516" customFormat="1">
      <c r="A117" s="539" t="s">
        <v>125</v>
      </c>
      <c r="B117" s="519"/>
      <c r="C117" s="519" t="s">
        <v>369</v>
      </c>
      <c r="D117" s="327">
        <f>D118+D119+D120</f>
        <v>8713.2248999999993</v>
      </c>
      <c r="E117" s="326">
        <f>E118+E119+E120</f>
        <v>0</v>
      </c>
      <c r="F117" s="327">
        <f>F118+F119+F120</f>
        <v>9112.5702500000007</v>
      </c>
      <c r="G117" s="326">
        <f>G118+G119+G120</f>
        <v>0</v>
      </c>
    </row>
    <row r="118" spans="1:7" s="516" customFormat="1">
      <c r="A118" s="537">
        <v>107</v>
      </c>
      <c r="B118" s="526"/>
      <c r="C118" s="526" t="s">
        <v>368</v>
      </c>
      <c r="D118" s="317">
        <v>2610.7746499999998</v>
      </c>
      <c r="E118" s="316"/>
      <c r="F118" s="317">
        <v>2568.2600000000002</v>
      </c>
      <c r="G118" s="316"/>
    </row>
    <row r="119" spans="1:7" s="516" customFormat="1">
      <c r="A119" s="537">
        <v>108</v>
      </c>
      <c r="B119" s="526"/>
      <c r="C119" s="526" t="s">
        <v>367</v>
      </c>
      <c r="D119" s="317">
        <v>6102.4502499999999</v>
      </c>
      <c r="E119" s="316"/>
      <c r="F119" s="317">
        <v>6544.3102500000005</v>
      </c>
      <c r="G119" s="316"/>
    </row>
    <row r="120" spans="1:7" s="538" customFormat="1" ht="25.5">
      <c r="A120" s="524">
        <v>109</v>
      </c>
      <c r="B120" s="523"/>
      <c r="C120" s="523" t="s">
        <v>366</v>
      </c>
      <c r="D120" s="311">
        <v>0</v>
      </c>
      <c r="E120" s="310"/>
      <c r="F120" s="311">
        <v>0</v>
      </c>
      <c r="G120" s="310"/>
    </row>
    <row r="121" spans="1:7" s="516" customFormat="1">
      <c r="A121" s="539">
        <v>14</v>
      </c>
      <c r="B121" s="519"/>
      <c r="C121" s="519" t="s">
        <v>365</v>
      </c>
      <c r="D121" s="327">
        <f>SUM(D122:D130)</f>
        <v>471344.46087000007</v>
      </c>
      <c r="E121" s="327">
        <f>SUM(E122:E130)</f>
        <v>0</v>
      </c>
      <c r="F121" s="327">
        <f>SUM(F122:F130)</f>
        <v>473284.13199999998</v>
      </c>
      <c r="G121" s="327">
        <f>SUM(G122:G130)</f>
        <v>0</v>
      </c>
    </row>
    <row r="122" spans="1:7" s="516" customFormat="1">
      <c r="A122" s="537" t="s">
        <v>119</v>
      </c>
      <c r="B122" s="526"/>
      <c r="C122" s="526" t="s">
        <v>364</v>
      </c>
      <c r="D122" s="317">
        <v>229797.50722</v>
      </c>
      <c r="E122" s="316"/>
      <c r="F122" s="317">
        <v>241145.63785</v>
      </c>
      <c r="G122" s="316"/>
    </row>
    <row r="123" spans="1:7" s="516" customFormat="1">
      <c r="A123" s="537">
        <v>144</v>
      </c>
      <c r="B123" s="526"/>
      <c r="C123" s="526" t="s">
        <v>363</v>
      </c>
      <c r="D123" s="317">
        <v>94062.019050000003</v>
      </c>
      <c r="E123" s="316"/>
      <c r="F123" s="317">
        <v>94330.326799999995</v>
      </c>
      <c r="G123" s="316"/>
    </row>
    <row r="124" spans="1:7" s="516" customFormat="1">
      <c r="A124" s="537">
        <v>145</v>
      </c>
      <c r="B124" s="526"/>
      <c r="C124" s="526" t="s">
        <v>362</v>
      </c>
      <c r="D124" s="317">
        <v>22955.53</v>
      </c>
      <c r="E124" s="304"/>
      <c r="F124" s="317">
        <v>22944.418000000001</v>
      </c>
      <c r="G124" s="304"/>
    </row>
    <row r="125" spans="1:7" s="516" customFormat="1">
      <c r="A125" s="537">
        <v>146</v>
      </c>
      <c r="B125" s="526"/>
      <c r="C125" s="526" t="s">
        <v>361</v>
      </c>
      <c r="D125" s="317">
        <v>124529.40459999999</v>
      </c>
      <c r="E125" s="304"/>
      <c r="F125" s="317">
        <v>114863.74935</v>
      </c>
      <c r="G125" s="304"/>
    </row>
    <row r="126" spans="1:7" s="538" customFormat="1" ht="29.45" customHeight="1">
      <c r="A126" s="524" t="s">
        <v>114</v>
      </c>
      <c r="B126" s="523"/>
      <c r="C126" s="523" t="s">
        <v>360</v>
      </c>
      <c r="D126" s="311">
        <v>0</v>
      </c>
      <c r="E126" s="339"/>
      <c r="F126" s="311">
        <v>0</v>
      </c>
      <c r="G126" s="339"/>
    </row>
    <row r="127" spans="1:7" s="516" customFormat="1">
      <c r="A127" s="537">
        <v>1484</v>
      </c>
      <c r="B127" s="526"/>
      <c r="C127" s="526" t="s">
        <v>359</v>
      </c>
      <c r="D127" s="317">
        <v>0</v>
      </c>
      <c r="E127" s="304"/>
      <c r="F127" s="317">
        <v>0</v>
      </c>
      <c r="G127" s="304"/>
    </row>
    <row r="128" spans="1:7" s="538" customFormat="1">
      <c r="A128" s="524">
        <v>1485</v>
      </c>
      <c r="B128" s="523"/>
      <c r="C128" s="523" t="s">
        <v>358</v>
      </c>
      <c r="D128" s="311">
        <v>0</v>
      </c>
      <c r="E128" s="339"/>
      <c r="F128" s="311">
        <v>0</v>
      </c>
      <c r="G128" s="339"/>
    </row>
    <row r="129" spans="1:7" s="538" customFormat="1" ht="25.5">
      <c r="A129" s="524">
        <v>1486</v>
      </c>
      <c r="B129" s="523"/>
      <c r="C129" s="523" t="s">
        <v>357</v>
      </c>
      <c r="D129" s="311">
        <v>0</v>
      </c>
      <c r="E129" s="339"/>
      <c r="F129" s="311">
        <v>0</v>
      </c>
      <c r="G129" s="339"/>
    </row>
    <row r="130" spans="1:7" s="538" customFormat="1">
      <c r="A130" s="767">
        <v>1489</v>
      </c>
      <c r="B130" s="766"/>
      <c r="C130" s="766" t="s">
        <v>356</v>
      </c>
      <c r="D130" s="764">
        <v>0</v>
      </c>
      <c r="E130" s="763"/>
      <c r="F130" s="764">
        <v>0</v>
      </c>
      <c r="G130" s="763"/>
    </row>
    <row r="131" spans="1:7" s="512" customFormat="1">
      <c r="A131" s="515">
        <v>1</v>
      </c>
      <c r="B131" s="514"/>
      <c r="C131" s="515" t="s">
        <v>355</v>
      </c>
      <c r="D131" s="295">
        <f>D111+D121</f>
        <v>732358.35533000005</v>
      </c>
      <c r="E131" s="295">
        <f>E111+E121</f>
        <v>0</v>
      </c>
      <c r="F131" s="295">
        <f>F111+F121</f>
        <v>715682.02186999994</v>
      </c>
      <c r="G131" s="295">
        <f>G111+G121</f>
        <v>0</v>
      </c>
    </row>
    <row r="132" spans="1:7" s="512" customFormat="1">
      <c r="A132" s="534"/>
      <c r="B132" s="534"/>
      <c r="C132" s="533"/>
      <c r="D132" s="260"/>
      <c r="E132" s="260"/>
      <c r="F132" s="260"/>
      <c r="G132" s="260"/>
    </row>
    <row r="133" spans="1:7" s="516" customFormat="1">
      <c r="A133" s="532">
        <v>20</v>
      </c>
      <c r="B133" s="531"/>
      <c r="C133" s="531" t="s">
        <v>354</v>
      </c>
      <c r="D133" s="329">
        <f>D134+D140</f>
        <v>565681.58682999993</v>
      </c>
      <c r="E133" s="530">
        <f>E134+E140</f>
        <v>0</v>
      </c>
      <c r="F133" s="329">
        <f>F134+F140</f>
        <v>539193.15494000004</v>
      </c>
      <c r="G133" s="530">
        <f>G134+G140</f>
        <v>0</v>
      </c>
    </row>
    <row r="134" spans="1:7" s="516" customFormat="1">
      <c r="A134" s="520" t="s">
        <v>106</v>
      </c>
      <c r="B134" s="519"/>
      <c r="C134" s="519" t="s">
        <v>353</v>
      </c>
      <c r="D134" s="327">
        <f>D135+D136+D138+D139</f>
        <v>276695.38517999998</v>
      </c>
      <c r="E134" s="326">
        <f>E135+E136+E138+E139</f>
        <v>0</v>
      </c>
      <c r="F134" s="327">
        <f>F135+F136+F138+F139</f>
        <v>174241.49979</v>
      </c>
      <c r="G134" s="326">
        <f>G135+G136+G138+G139</f>
        <v>0</v>
      </c>
    </row>
    <row r="135" spans="1:7" s="525" customFormat="1">
      <c r="A135" s="527">
        <v>200</v>
      </c>
      <c r="B135" s="526"/>
      <c r="C135" s="526" t="s">
        <v>352</v>
      </c>
      <c r="D135" s="317">
        <v>76058.197549999997</v>
      </c>
      <c r="E135" s="316"/>
      <c r="F135" s="317">
        <v>74419.633570000005</v>
      </c>
      <c r="G135" s="316"/>
    </row>
    <row r="136" spans="1:7" s="525" customFormat="1">
      <c r="A136" s="527">
        <v>201</v>
      </c>
      <c r="B136" s="526"/>
      <c r="C136" s="526" t="s">
        <v>351</v>
      </c>
      <c r="D136" s="317">
        <v>112126.44635</v>
      </c>
      <c r="E136" s="316"/>
      <c r="F136" s="317">
        <v>61170.983289999996</v>
      </c>
      <c r="G136" s="316"/>
    </row>
    <row r="137" spans="1:7" s="525" customFormat="1">
      <c r="A137" s="529" t="s">
        <v>350</v>
      </c>
      <c r="B137" s="528"/>
      <c r="C137" s="528" t="s">
        <v>349</v>
      </c>
      <c r="D137" s="322">
        <v>0</v>
      </c>
      <c r="E137" s="328"/>
      <c r="F137" s="322">
        <v>0</v>
      </c>
      <c r="G137" s="328"/>
    </row>
    <row r="138" spans="1:7" s="525" customFormat="1">
      <c r="A138" s="527">
        <v>204</v>
      </c>
      <c r="B138" s="526"/>
      <c r="C138" s="526" t="s">
        <v>348</v>
      </c>
      <c r="D138" s="317">
        <v>38844.04808</v>
      </c>
      <c r="E138" s="304"/>
      <c r="F138" s="317">
        <v>35025.938730000002</v>
      </c>
      <c r="G138" s="304"/>
    </row>
    <row r="139" spans="1:7" s="525" customFormat="1">
      <c r="A139" s="527">
        <v>205</v>
      </c>
      <c r="B139" s="526"/>
      <c r="C139" s="526" t="s">
        <v>347</v>
      </c>
      <c r="D139" s="317">
        <v>49666.693200000002</v>
      </c>
      <c r="E139" s="304"/>
      <c r="F139" s="317">
        <v>3624.9441999999999</v>
      </c>
      <c r="G139" s="304"/>
    </row>
    <row r="140" spans="1:7" s="525" customFormat="1">
      <c r="A140" s="520" t="s">
        <v>98</v>
      </c>
      <c r="B140" s="519"/>
      <c r="C140" s="519" t="s">
        <v>346</v>
      </c>
      <c r="D140" s="327">
        <f>D141+D143+D144</f>
        <v>288986.20165</v>
      </c>
      <c r="E140" s="326">
        <f>E141+E143+E144</f>
        <v>0</v>
      </c>
      <c r="F140" s="327">
        <f>F141+F143+F144</f>
        <v>364951.65515000001</v>
      </c>
      <c r="G140" s="326">
        <f>G141+G143+G144</f>
        <v>0</v>
      </c>
    </row>
    <row r="141" spans="1:7" s="525" customFormat="1">
      <c r="A141" s="527">
        <v>206</v>
      </c>
      <c r="B141" s="526"/>
      <c r="C141" s="526" t="s">
        <v>345</v>
      </c>
      <c r="D141" s="317">
        <v>283552.73463999998</v>
      </c>
      <c r="E141" s="304"/>
      <c r="F141" s="317">
        <v>358570.40399000002</v>
      </c>
      <c r="G141" s="304"/>
    </row>
    <row r="142" spans="1:7" s="525" customFormat="1">
      <c r="A142" s="529" t="s">
        <v>344</v>
      </c>
      <c r="B142" s="528"/>
      <c r="C142" s="528" t="s">
        <v>343</v>
      </c>
      <c r="D142" s="322">
        <v>0</v>
      </c>
      <c r="E142" s="328"/>
      <c r="F142" s="322">
        <v>0</v>
      </c>
      <c r="G142" s="328"/>
    </row>
    <row r="143" spans="1:7" s="525" customFormat="1">
      <c r="A143" s="527">
        <v>208</v>
      </c>
      <c r="B143" s="526"/>
      <c r="C143" s="526" t="s">
        <v>342</v>
      </c>
      <c r="D143" s="317">
        <v>0</v>
      </c>
      <c r="E143" s="304"/>
      <c r="F143" s="317">
        <v>0</v>
      </c>
      <c r="G143" s="304"/>
    </row>
    <row r="144" spans="1:7" s="521" customFormat="1" ht="25.5">
      <c r="A144" s="524">
        <v>209</v>
      </c>
      <c r="B144" s="523"/>
      <c r="C144" s="523" t="s">
        <v>341</v>
      </c>
      <c r="D144" s="311">
        <v>5433.4670100000003</v>
      </c>
      <c r="E144" s="339"/>
      <c r="F144" s="311">
        <v>6381.2511599999998</v>
      </c>
      <c r="G144" s="339"/>
    </row>
    <row r="145" spans="1:7" s="516" customFormat="1">
      <c r="A145" s="520">
        <v>29</v>
      </c>
      <c r="B145" s="519"/>
      <c r="C145" s="519" t="s">
        <v>340</v>
      </c>
      <c r="D145" s="305">
        <v>166676.76850000001</v>
      </c>
      <c r="E145" s="304"/>
      <c r="F145" s="305">
        <v>176488.86692999999</v>
      </c>
      <c r="G145" s="304"/>
    </row>
    <row r="146" spans="1:7" s="516" customFormat="1">
      <c r="A146" s="518" t="s">
        <v>339</v>
      </c>
      <c r="B146" s="517"/>
      <c r="C146" s="517" t="s">
        <v>338</v>
      </c>
      <c r="D146" s="300">
        <v>157475.71825999999</v>
      </c>
      <c r="E146" s="299"/>
      <c r="F146" s="300">
        <v>157982.75640000001</v>
      </c>
      <c r="G146" s="299"/>
    </row>
    <row r="147" spans="1:7" s="512" customFormat="1">
      <c r="A147" s="515">
        <v>2</v>
      </c>
      <c r="B147" s="514"/>
      <c r="C147" s="515" t="s">
        <v>337</v>
      </c>
      <c r="D147" s="295">
        <f>D133+D145</f>
        <v>732358.35532999993</v>
      </c>
      <c r="E147" s="295">
        <f>E133+E145</f>
        <v>0</v>
      </c>
      <c r="F147" s="295">
        <f>F133+F145</f>
        <v>715682.02187000006</v>
      </c>
      <c r="G147" s="295">
        <f>G133+G145</f>
        <v>0</v>
      </c>
    </row>
    <row r="148" spans="1:7" ht="7.5" customHeight="1">
      <c r="D148" s="512"/>
      <c r="F148" s="512"/>
    </row>
    <row r="149" spans="1:7" ht="13.5" customHeight="1">
      <c r="A149" s="803" t="s">
        <v>499</v>
      </c>
      <c r="B149" s="509"/>
      <c r="C149" s="664"/>
      <c r="D149" s="509"/>
      <c r="E149" s="509"/>
      <c r="F149" s="509"/>
      <c r="G149" s="509"/>
    </row>
    <row r="150" spans="1:7">
      <c r="A150" s="658" t="s">
        <v>335</v>
      </c>
      <c r="B150" s="657"/>
      <c r="C150" s="657" t="s">
        <v>334</v>
      </c>
      <c r="D150" s="268">
        <f>D77+SUM(D8:D12)-D30-D31+D16-D33+D59+D63-D73+D64-D74-D54+D20-D35</f>
        <v>30456.142309999959</v>
      </c>
      <c r="E150" s="268">
        <f>E77+SUM(E8:E12)-E30-E31+E16-E33+E59+E63-E73+E64-E74-E54+E20-E35</f>
        <v>28755.900000000096</v>
      </c>
      <c r="F150" s="268">
        <f>F77+SUM(F8:F12)-F30-F31+F16-F33+F59+F63-F73+F64-F74-F54+F20-F35</f>
        <v>40321.86134999997</v>
      </c>
      <c r="G150" s="268">
        <f>G77+SUM(G8:G12)-G30-G31+G16-G33+G59+G63-G73+G64-G74-G54+G20-G35</f>
        <v>31545.649999999958</v>
      </c>
    </row>
    <row r="151" spans="1:7">
      <c r="A151" s="654" t="s">
        <v>333</v>
      </c>
      <c r="B151" s="653"/>
      <c r="C151" s="653" t="s">
        <v>332</v>
      </c>
      <c r="D151" s="269">
        <f>IF(D177=0,0,D150/D177)</f>
        <v>3.9681951149035395E-2</v>
      </c>
      <c r="E151" s="269">
        <f>IF(E177=0,0,E150/E177)</f>
        <v>3.6457975431732466E-2</v>
      </c>
      <c r="F151" s="269">
        <f>IF(F177=0,0,F150/F177)</f>
        <v>5.1764518287982855E-2</v>
      </c>
      <c r="G151" s="269">
        <f>IF(G177=0,0,G150/G177)</f>
        <v>3.9566521905974546E-2</v>
      </c>
    </row>
    <row r="152" spans="1:7" s="504" customFormat="1" ht="25.5">
      <c r="A152" s="508" t="s">
        <v>330</v>
      </c>
      <c r="B152" s="661"/>
      <c r="C152" s="661" t="s">
        <v>331</v>
      </c>
      <c r="D152" s="505">
        <f>IF(D107=0,0,D150/D107)</f>
        <v>0.80414920053927852</v>
      </c>
      <c r="E152" s="505">
        <f>IF(E107=0,0,E150/E107)</f>
        <v>0.74334423347852752</v>
      </c>
      <c r="F152" s="505">
        <f>IF(F107=0,0,F150/F107)</f>
        <v>1.0921713713849193</v>
      </c>
      <c r="G152" s="505">
        <f>IF(G107=0,0,G150/G107)</f>
        <v>0.79885258314403762</v>
      </c>
    </row>
    <row r="153" spans="1:7" s="504" customFormat="1" ht="25.5">
      <c r="A153" s="497" t="s">
        <v>330</v>
      </c>
      <c r="B153" s="663"/>
      <c r="C153" s="663" t="s">
        <v>329</v>
      </c>
      <c r="D153" s="274">
        <f>IF(0=D108,0,D150/D108)</f>
        <v>0.78230436930773894</v>
      </c>
      <c r="E153" s="274">
        <f>IF(0=E108,0,E150/E108)</f>
        <v>0.71274649772463883</v>
      </c>
      <c r="F153" s="274">
        <f>IF(0=F108,0,F150/F108)</f>
        <v>1.0550188096852959</v>
      </c>
      <c r="G153" s="274">
        <f>IF(0=G108,0,G150/G108)</f>
        <v>0.78243652833033939</v>
      </c>
    </row>
    <row r="154" spans="1:7" ht="25.5">
      <c r="A154" s="503" t="s">
        <v>328</v>
      </c>
      <c r="B154" s="662"/>
      <c r="C154" s="662" t="s">
        <v>327</v>
      </c>
      <c r="D154" s="279">
        <f>D150-D107</f>
        <v>-7417.603370000048</v>
      </c>
      <c r="E154" s="279">
        <f>E150-E107</f>
        <v>-9928.599999999904</v>
      </c>
      <c r="F154" s="279">
        <f>F150-F107</f>
        <v>3402.8737199999669</v>
      </c>
      <c r="G154" s="279">
        <f>G150-G107</f>
        <v>-7943.0500000000393</v>
      </c>
    </row>
    <row r="155" spans="1:7" ht="27.6" customHeight="1">
      <c r="A155" s="497" t="s">
        <v>326</v>
      </c>
      <c r="B155" s="663"/>
      <c r="C155" s="663" t="s">
        <v>325</v>
      </c>
      <c r="D155" s="282">
        <f>D150-D108</f>
        <v>-8475.1784200000475</v>
      </c>
      <c r="E155" s="282">
        <f>E150-E108</f>
        <v>-11589.299999999901</v>
      </c>
      <c r="F155" s="282">
        <f>F150-F108</f>
        <v>2102.7689699999682</v>
      </c>
      <c r="G155" s="282">
        <f>G150-G108</f>
        <v>-8771.5500000000393</v>
      </c>
    </row>
    <row r="156" spans="1:7">
      <c r="A156" s="658" t="s">
        <v>324</v>
      </c>
      <c r="B156" s="657"/>
      <c r="C156" s="657" t="s">
        <v>323</v>
      </c>
      <c r="D156" s="277">
        <f>D135+D136-D137+D141-D142</f>
        <v>471737.37853999995</v>
      </c>
      <c r="E156" s="277">
        <f>E135+E136-E137+E141-E142</f>
        <v>0</v>
      </c>
      <c r="F156" s="277">
        <f>F135+F136-F137+F141-F142</f>
        <v>494161.02085000003</v>
      </c>
      <c r="G156" s="277">
        <f>G135+G136-G137+G141-G142</f>
        <v>0</v>
      </c>
    </row>
    <row r="157" spans="1:7">
      <c r="A157" s="656" t="s">
        <v>322</v>
      </c>
      <c r="B157" s="655"/>
      <c r="C157" s="655" t="s">
        <v>321</v>
      </c>
      <c r="D157" s="273">
        <f>IF(D177=0,0,D156/D177)</f>
        <v>0.61463659513608049</v>
      </c>
      <c r="E157" s="273">
        <f>IF(E177=0,0,E156/E177)</f>
        <v>0</v>
      </c>
      <c r="F157" s="273">
        <f>IF(F177=0,0,F156/F177)</f>
        <v>0.63439549526148364</v>
      </c>
      <c r="G157" s="273">
        <f>IF(G177=0,0,G156/G177)</f>
        <v>0</v>
      </c>
    </row>
    <row r="158" spans="1:7">
      <c r="A158" s="658" t="s">
        <v>320</v>
      </c>
      <c r="B158" s="657"/>
      <c r="C158" s="657" t="s">
        <v>319</v>
      </c>
      <c r="D158" s="277">
        <f>D133-D142-D111</f>
        <v>304667.69236999995</v>
      </c>
      <c r="E158" s="277">
        <f>E133-E142-E111</f>
        <v>0</v>
      </c>
      <c r="F158" s="277">
        <f>F133-F142-F111</f>
        <v>296795.26507000008</v>
      </c>
      <c r="G158" s="277">
        <f>G133-G142-G111</f>
        <v>0</v>
      </c>
    </row>
    <row r="159" spans="1:7">
      <c r="A159" s="654" t="s">
        <v>318</v>
      </c>
      <c r="B159" s="653"/>
      <c r="C159" s="653" t="s">
        <v>317</v>
      </c>
      <c r="D159" s="265">
        <f>D121-D123-D124-D142-D145</f>
        <v>187650.14332000003</v>
      </c>
      <c r="E159" s="265">
        <f>E121-E123-E124-E142-E145</f>
        <v>0</v>
      </c>
      <c r="F159" s="265">
        <f>F121-F123-F124-F142-F145</f>
        <v>179520.52027000001</v>
      </c>
      <c r="G159" s="265">
        <f>G121-G123-G124-G142-G145</f>
        <v>0</v>
      </c>
    </row>
    <row r="160" spans="1:7">
      <c r="A160" s="654" t="s">
        <v>315</v>
      </c>
      <c r="B160" s="653"/>
      <c r="C160" s="653" t="s">
        <v>316</v>
      </c>
      <c r="D160" s="276">
        <f>IF(D175=0,"-",1000*D158/D175)</f>
        <v>4248.4304431553546</v>
      </c>
      <c r="E160" s="276">
        <f>IF(E175=0,"-",1000*E158/E175)</f>
        <v>0</v>
      </c>
      <c r="F160" s="276">
        <f>IF(F175=0,"-",1000*F158/F175)</f>
        <v>4097.231633534886</v>
      </c>
      <c r="G160" s="276">
        <f>IF(G175=0,"-",1000*G158/G175)</f>
        <v>0</v>
      </c>
    </row>
    <row r="161" spans="1:7">
      <c r="A161" s="654" t="s">
        <v>315</v>
      </c>
      <c r="B161" s="653"/>
      <c r="C161" s="653" t="s">
        <v>314</v>
      </c>
      <c r="D161" s="265">
        <f>IF(D175=0,0,1000*(D159/D175))</f>
        <v>2616.6823772537759</v>
      </c>
      <c r="E161" s="265">
        <f>IF(E175=0,0,1000*(E159/E175))</f>
        <v>0</v>
      </c>
      <c r="F161" s="265">
        <f>IF(F175=0,0,1000*(F159/F175))</f>
        <v>2478.2644505646208</v>
      </c>
      <c r="G161" s="265">
        <f>IF(G175=0,0,1000*(G159/G175))</f>
        <v>0</v>
      </c>
    </row>
    <row r="162" spans="1:7">
      <c r="A162" s="656" t="s">
        <v>313</v>
      </c>
      <c r="B162" s="655"/>
      <c r="C162" s="655" t="s">
        <v>312</v>
      </c>
      <c r="D162" s="273">
        <f>IF((D22+D23+D65+D66)=0,0,D158/(D22+D23+D65+D66))</f>
        <v>0.95829856123193591</v>
      </c>
      <c r="E162" s="273">
        <f>IF((E22+E23+E65+E66)=0,0,E158/(E22+E23+E65+E66))</f>
        <v>0</v>
      </c>
      <c r="F162" s="273">
        <f>IF((F22+F23+F65+F66)=0,0,F158/(F22+F23+F65+F66))</f>
        <v>0.88445835414674678</v>
      </c>
      <c r="G162" s="273">
        <f>IF((G22+G23+G65+G66)=0,0,G158/(G22+G23+G65+G66))</f>
        <v>0</v>
      </c>
    </row>
    <row r="163" spans="1:7">
      <c r="A163" s="654" t="s">
        <v>311</v>
      </c>
      <c r="B163" s="653"/>
      <c r="C163" s="653" t="s">
        <v>310</v>
      </c>
      <c r="D163" s="268">
        <f>D145</f>
        <v>166676.76850000001</v>
      </c>
      <c r="E163" s="268">
        <f>E145</f>
        <v>0</v>
      </c>
      <c r="F163" s="268">
        <f>F145</f>
        <v>176488.86692999999</v>
      </c>
      <c r="G163" s="268">
        <f>G145</f>
        <v>0</v>
      </c>
    </row>
    <row r="164" spans="1:7" ht="25.5">
      <c r="A164" s="497" t="s">
        <v>309</v>
      </c>
      <c r="B164" s="655"/>
      <c r="C164" s="655" t="s">
        <v>308</v>
      </c>
      <c r="D164" s="274">
        <f>IF(D178=0,0,D146/D178)</f>
        <v>0.20476793734578155</v>
      </c>
      <c r="E164" s="274">
        <f>IF(E178=0,0,E146/E178)</f>
        <v>0</v>
      </c>
      <c r="F164" s="274">
        <f>IF(F178=0,0,F146/F178)</f>
        <v>0.20360154997279689</v>
      </c>
      <c r="G164" s="274">
        <f>IF(G178=0,0,G146/G178)</f>
        <v>0</v>
      </c>
    </row>
    <row r="165" spans="1:7">
      <c r="A165" s="652" t="s">
        <v>307</v>
      </c>
      <c r="B165" s="651"/>
      <c r="C165" s="651" t="s">
        <v>306</v>
      </c>
      <c r="D165" s="262">
        <f>IF(D177=0,0,D180/D177)</f>
        <v>5.1508468205294519E-2</v>
      </c>
      <c r="E165" s="262">
        <f>IF(E177=0,0,E180/E177)</f>
        <v>5.1356909302293155E-2</v>
      </c>
      <c r="F165" s="262">
        <f>IF(F177=0,0,F180/F177)</f>
        <v>5.1508243051535653E-2</v>
      </c>
      <c r="G165" s="262">
        <f>IF(G177=0,0,G180/G177)</f>
        <v>5.0471894269193684E-2</v>
      </c>
    </row>
    <row r="166" spans="1:7">
      <c r="A166" s="654" t="s">
        <v>305</v>
      </c>
      <c r="B166" s="653"/>
      <c r="C166" s="653" t="s">
        <v>304</v>
      </c>
      <c r="D166" s="268">
        <f>D55</f>
        <v>4207.0094100000006</v>
      </c>
      <c r="E166" s="268">
        <f>E55</f>
        <v>2334.1999999999998</v>
      </c>
      <c r="F166" s="268">
        <f>F55</f>
        <v>3176.7959000000001</v>
      </c>
      <c r="G166" s="268">
        <f>G55</f>
        <v>2559.2000000000016</v>
      </c>
    </row>
    <row r="167" spans="1:7" s="504" customFormat="1" ht="25.5">
      <c r="A167" s="497" t="s">
        <v>303</v>
      </c>
      <c r="B167" s="655"/>
      <c r="C167" s="655" t="s">
        <v>302</v>
      </c>
      <c r="D167" s="274">
        <f>IF(0=D111,0,(D44+D45+D46+D47+D48)/D111)</f>
        <v>1.2468913720984905E-2</v>
      </c>
      <c r="E167" s="274">
        <f>IF(0=E111,0,(E44+E45+E46+E47+E48)/E111)</f>
        <v>0</v>
      </c>
      <c r="F167" s="274">
        <f>IF(0=F111,0,(F44+F45+F46+F47+F48)/F111)</f>
        <v>1.4794261047087719E-2</v>
      </c>
      <c r="G167" s="274">
        <f>IF(0=G111,0,(G44+G45+G46+G47+G48)/G111)</f>
        <v>0</v>
      </c>
    </row>
    <row r="168" spans="1:7">
      <c r="A168" s="654" t="s">
        <v>301</v>
      </c>
      <c r="B168" s="657"/>
      <c r="C168" s="657" t="s">
        <v>300</v>
      </c>
      <c r="D168" s="268">
        <f>D38-D44</f>
        <v>1969.5831099999996</v>
      </c>
      <c r="E168" s="268">
        <f>E38-E44</f>
        <v>3923.3</v>
      </c>
      <c r="F168" s="268">
        <f>F38-F44</f>
        <v>3414.5072999999998</v>
      </c>
      <c r="G168" s="268">
        <f>G38-G44</f>
        <v>4261.3</v>
      </c>
    </row>
    <row r="169" spans="1:7">
      <c r="A169" s="656" t="s">
        <v>299</v>
      </c>
      <c r="B169" s="655"/>
      <c r="C169" s="655" t="s">
        <v>298</v>
      </c>
      <c r="D169" s="269">
        <f>IF(D177=0,0,D168/D177)</f>
        <v>2.5662114380560659E-3</v>
      </c>
      <c r="E169" s="269">
        <f>IF(E177=0,0,E168/E177)</f>
        <v>4.9741296572639185E-3</v>
      </c>
      <c r="F169" s="269">
        <f>IF(F177=0,0,F168/F177)</f>
        <v>4.3834862691749495E-3</v>
      </c>
      <c r="G169" s="269">
        <f>IF(G177=0,0,G168/G177)</f>
        <v>5.3447882607563823E-3</v>
      </c>
    </row>
    <row r="170" spans="1:7">
      <c r="A170" s="654" t="s">
        <v>297</v>
      </c>
      <c r="B170" s="653"/>
      <c r="C170" s="653" t="s">
        <v>296</v>
      </c>
      <c r="D170" s="268">
        <f>SUM(D82:D87)+SUM(D89:D94)</f>
        <v>43973.664680000009</v>
      </c>
      <c r="E170" s="268">
        <f>SUM(E82:E87)+SUM(E89:E94)</f>
        <v>43665</v>
      </c>
      <c r="F170" s="268">
        <f>SUM(F82:F87)+SUM(F89:F94)</f>
        <v>41623.531980000007</v>
      </c>
      <c r="G170" s="268">
        <f>SUM(G82:G87)+SUM(G89:G94)</f>
        <v>44051.5</v>
      </c>
    </row>
    <row r="171" spans="1:7">
      <c r="A171" s="654" t="s">
        <v>295</v>
      </c>
      <c r="B171" s="653"/>
      <c r="C171" s="653" t="s">
        <v>294</v>
      </c>
      <c r="D171" s="265">
        <f>SUM(D96:D102)+SUM(D104:D105)</f>
        <v>6099.9190000000008</v>
      </c>
      <c r="E171" s="265">
        <f>SUM(E96:E102)+SUM(E104:E105)</f>
        <v>4980.5</v>
      </c>
      <c r="F171" s="265">
        <f>SUM(F96:F102)+SUM(F104:F105)</f>
        <v>4704.5443499999992</v>
      </c>
      <c r="G171" s="265">
        <f>SUM(G96:G102)+SUM(G104:G105)</f>
        <v>4562.8</v>
      </c>
    </row>
    <row r="172" spans="1:7">
      <c r="A172" s="652" t="s">
        <v>293</v>
      </c>
      <c r="B172" s="651"/>
      <c r="C172" s="651" t="s">
        <v>292</v>
      </c>
      <c r="D172" s="262">
        <f>IF(D184=0,0,D170/D184)</f>
        <v>5.7364748436212143E-2</v>
      </c>
      <c r="E172" s="262">
        <f>IF(E184=0,0,E170/E184)</f>
        <v>5.5192423299405977E-2</v>
      </c>
      <c r="F172" s="262">
        <f>IF(F184=0,0,F170/F184)</f>
        <v>5.4071213509727635E-2</v>
      </c>
      <c r="G172" s="262">
        <f>IF(G184=0,0,G170/G184)</f>
        <v>5.51270958533071E-2</v>
      </c>
    </row>
    <row r="173" spans="1:7">
      <c r="A173" s="678"/>
    </row>
    <row r="174" spans="1:7">
      <c r="A174" s="479" t="s">
        <v>291</v>
      </c>
      <c r="B174" s="477"/>
      <c r="C174" s="649"/>
      <c r="D174" s="260"/>
      <c r="E174" s="260"/>
      <c r="F174" s="260"/>
      <c r="G174" s="260"/>
    </row>
    <row r="175" spans="1:7" s="480" customFormat="1">
      <c r="A175" s="478" t="s">
        <v>290</v>
      </c>
      <c r="B175" s="477"/>
      <c r="C175" s="477" t="s">
        <v>289</v>
      </c>
      <c r="D175" s="650">
        <v>71713</v>
      </c>
      <c r="E175" s="802">
        <v>72000</v>
      </c>
      <c r="F175" s="650">
        <v>72438</v>
      </c>
      <c r="G175" s="802">
        <v>73000</v>
      </c>
    </row>
    <row r="176" spans="1:7">
      <c r="A176" s="479" t="s">
        <v>288</v>
      </c>
      <c r="B176" s="477"/>
      <c r="C176" s="477"/>
      <c r="D176" s="477"/>
      <c r="E176" s="477"/>
      <c r="F176" s="477"/>
      <c r="G176" s="477"/>
    </row>
    <row r="177" spans="1:7">
      <c r="A177" s="478" t="s">
        <v>287</v>
      </c>
      <c r="B177" s="477"/>
      <c r="C177" s="477" t="s">
        <v>286</v>
      </c>
      <c r="D177" s="475">
        <f>SUM(D22:D32)+SUM(D44:D53)+SUM(D65:D72)+D75</f>
        <v>767506.16913000005</v>
      </c>
      <c r="E177" s="475">
        <f>SUM(E22:E32)+SUM(E44:E53)+SUM(E65:E72)+E75</f>
        <v>788741</v>
      </c>
      <c r="F177" s="475">
        <f>SUM(F22:F32)+SUM(F44:F53)+SUM(F65:F72)+F75</f>
        <v>778947.8716999999</v>
      </c>
      <c r="G177" s="475">
        <f>SUM(G22:G32)+SUM(G44:G53)+SUM(G65:G72)+G75</f>
        <v>797281.35</v>
      </c>
    </row>
    <row r="178" spans="1:7">
      <c r="A178" s="478" t="s">
        <v>285</v>
      </c>
      <c r="B178" s="477"/>
      <c r="C178" s="477" t="s">
        <v>284</v>
      </c>
      <c r="D178" s="475">
        <f>D78-D17-D20-D59-D63-D64</f>
        <v>769044.80409000011</v>
      </c>
      <c r="E178" s="475">
        <f>E78-E17-E20-E59-E63-E64</f>
        <v>794189.2</v>
      </c>
      <c r="F178" s="475">
        <f>F78-F17-F20-F59-F63-F64</f>
        <v>775940.83355999994</v>
      </c>
      <c r="G178" s="475">
        <f>G78-G17-G20-G59-G63-G64</f>
        <v>801353.7</v>
      </c>
    </row>
    <row r="179" spans="1:7">
      <c r="A179" s="478"/>
      <c r="B179" s="477"/>
      <c r="C179" s="477" t="s">
        <v>283</v>
      </c>
      <c r="D179" s="475">
        <f>D178+D170</f>
        <v>813018.46877000015</v>
      </c>
      <c r="E179" s="475">
        <f>E178+E170</f>
        <v>837854.2</v>
      </c>
      <c r="F179" s="475">
        <f>F178+F170</f>
        <v>817564.36553999991</v>
      </c>
      <c r="G179" s="475">
        <f>G178+G170</f>
        <v>845405.2</v>
      </c>
    </row>
    <row r="180" spans="1:7">
      <c r="A180" s="478" t="s">
        <v>282</v>
      </c>
      <c r="B180" s="477"/>
      <c r="C180" s="477" t="s">
        <v>281</v>
      </c>
      <c r="D180" s="475">
        <f>D38-D44+D8+D9+D10+D16-D33</f>
        <v>39533.067110000004</v>
      </c>
      <c r="E180" s="475">
        <f>E38-E44+E8+E9+E10+E16-E33</f>
        <v>40507.300000000003</v>
      </c>
      <c r="F180" s="475">
        <f>F38-F44+F8+F9+F10+F16-F33</f>
        <v>40122.236300000004</v>
      </c>
      <c r="G180" s="475">
        <f>G38-G44+G8+G9+G10+G16-G33</f>
        <v>40240.300000000003</v>
      </c>
    </row>
    <row r="181" spans="1:7" ht="27.6" customHeight="1">
      <c r="A181" s="474" t="s">
        <v>280</v>
      </c>
      <c r="B181" s="472"/>
      <c r="C181" s="472" t="s">
        <v>279</v>
      </c>
      <c r="D181" s="249">
        <f>D22+D23+D24+D25+D26+D29+SUM(D44:D47)+SUM(D49:D53)-D54+D32-D33+SUM(D65:D70)+D72</f>
        <v>753030.75717</v>
      </c>
      <c r="E181" s="249">
        <f>E22+E23+E24+E25+E26+E29+SUM(E44:E47)+SUM(E49:E53)-E54+E32-E33+SUM(E65:E70)+E72</f>
        <v>776212.1</v>
      </c>
      <c r="F181" s="249">
        <f>F22+F23+F24+F25+F26+F29+SUM(F44:F47)+SUM(F49:F53)-F54+F32-F33+SUM(F65:F70)+F72</f>
        <v>768473.12830999983</v>
      </c>
      <c r="G181" s="249">
        <f>G22+G23+G24+G25+G26+G29+SUM(G44:G47)+SUM(G49:G53)-G54+G32-G33+SUM(G65:G70)+G72</f>
        <v>786563.95</v>
      </c>
    </row>
    <row r="182" spans="1:7">
      <c r="A182" s="473" t="s">
        <v>278</v>
      </c>
      <c r="B182" s="472"/>
      <c r="C182" s="472" t="s">
        <v>277</v>
      </c>
      <c r="D182" s="249">
        <f>D181+D171</f>
        <v>759130.67616999999</v>
      </c>
      <c r="E182" s="249">
        <f>E181+E171</f>
        <v>781192.6</v>
      </c>
      <c r="F182" s="249">
        <f>F181+F171</f>
        <v>773177.67265999981</v>
      </c>
      <c r="G182" s="249">
        <f>G181+G171</f>
        <v>791126.75</v>
      </c>
    </row>
    <row r="183" spans="1:7">
      <c r="A183" s="473" t="s">
        <v>276</v>
      </c>
      <c r="B183" s="472"/>
      <c r="C183" s="472" t="s">
        <v>275</v>
      </c>
      <c r="D183" s="249">
        <f>D4+D5-D7+D38+D39+D40+D41+D43+D13-D16+D57+D58+D60+D62</f>
        <v>722588.83021000004</v>
      </c>
      <c r="E183" s="249">
        <f>E4+E5-E7+E38+E39+E40+E41+E43+E13-E16+E57+E58+E60+E62</f>
        <v>747476.2</v>
      </c>
      <c r="F183" s="249">
        <f>F4+F5-F7+F38+F39+F40+F41+F43+F13-F16+F57+F58+F60+F62</f>
        <v>728167.43955999997</v>
      </c>
      <c r="G183" s="249">
        <f>G4+G5-G7+G38+G39+G40+G41+G43+G13-G16+G57+G58+G60+G62</f>
        <v>755038.3</v>
      </c>
    </row>
    <row r="184" spans="1:7">
      <c r="A184" s="473" t="s">
        <v>274</v>
      </c>
      <c r="B184" s="472"/>
      <c r="C184" s="472" t="s">
        <v>273</v>
      </c>
      <c r="D184" s="249">
        <f>D183+D170</f>
        <v>766562.49489000009</v>
      </c>
      <c r="E184" s="249">
        <f>E183+E170</f>
        <v>791141.2</v>
      </c>
      <c r="F184" s="249">
        <f>F183+F170</f>
        <v>769790.97153999994</v>
      </c>
      <c r="G184" s="249">
        <f>G183+G170</f>
        <v>799089.8</v>
      </c>
    </row>
    <row r="185" spans="1:7">
      <c r="A185" s="473"/>
      <c r="B185" s="472"/>
      <c r="C185" s="472" t="s">
        <v>272</v>
      </c>
      <c r="D185" s="249">
        <f t="shared" ref="D185:G186" si="0">D181-D183</f>
        <v>30441.926959999953</v>
      </c>
      <c r="E185" s="249">
        <f t="shared" si="0"/>
        <v>28735.900000000023</v>
      </c>
      <c r="F185" s="249">
        <f t="shared" si="0"/>
        <v>40305.688749999856</v>
      </c>
      <c r="G185" s="249">
        <f t="shared" si="0"/>
        <v>31525.649999999907</v>
      </c>
    </row>
    <row r="186" spans="1:7">
      <c r="A186" s="473"/>
      <c r="B186" s="472"/>
      <c r="C186" s="472" t="s">
        <v>271</v>
      </c>
      <c r="D186" s="249">
        <f t="shared" si="0"/>
        <v>-7431.8187200000975</v>
      </c>
      <c r="E186" s="249">
        <f t="shared" si="0"/>
        <v>-9948.5999999999767</v>
      </c>
      <c r="F186" s="249">
        <f t="shared" si="0"/>
        <v>3386.7011199998669</v>
      </c>
      <c r="G186" s="249">
        <f t="shared" si="0"/>
        <v>-7963.0500000000466</v>
      </c>
    </row>
  </sheetData>
  <sheetProtection selectLockedCells="1" sort="0" autoFilter="0" pivotTables="0"/>
  <mergeCells count="2">
    <mergeCell ref="A3:C3"/>
    <mergeCell ref="A81:C81"/>
  </mergeCells>
  <pageMargins left="0.23622047244094491" right="0.23622047244094491" top="0.74803149606299213" bottom="0.74803149606299213" header="0.31496062992125984" footer="0.31496062992125984"/>
  <pageSetup paperSize="9" orientation="landscape" r:id="rId1"/>
  <headerFooter alignWithMargins="0">
    <oddHeader>&amp;LFachgruppe für kantonale Finanzfragen (FkF)
Groupe d'études pour les finances cantonales
&amp;CKanton VD&amp;RZürich, 11.05.2015</oddHeader>
    <oddFooter>&amp;L&amp;F / &amp;A</oddFooter>
  </headerFooter>
  <rowBreaks count="2" manualBreakCount="2">
    <brk id="79" max="16383" man="1"/>
    <brk id="147" max="16383" man="1"/>
  </rowBreaks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>
    <pageSetUpPr fitToPage="1"/>
  </sheetPr>
  <dimension ref="A1:F46"/>
  <sheetViews>
    <sheetView topLeftCell="A22" zoomScaleNormal="100" workbookViewId="0">
      <selection activeCell="E46" sqref="E46"/>
    </sheetView>
  </sheetViews>
  <sheetFormatPr baseColWidth="10" defaultRowHeight="12.75"/>
  <cols>
    <col min="1" max="1" width="26.42578125" customWidth="1"/>
    <col min="2" max="2" width="15.42578125" customWidth="1"/>
    <col min="3" max="3" width="15.5703125" customWidth="1"/>
    <col min="4" max="4" width="15.7109375" customWidth="1"/>
    <col min="5" max="5" width="21.28515625" customWidth="1"/>
    <col min="6" max="6" width="2.140625" customWidth="1"/>
  </cols>
  <sheetData>
    <row r="1" spans="1:6">
      <c r="B1" s="4"/>
      <c r="C1" s="4"/>
      <c r="D1" s="4"/>
      <c r="E1" s="4"/>
      <c r="F1" s="4"/>
    </row>
    <row r="2" spans="1:6" ht="18" customHeight="1">
      <c r="A2" s="45" t="s">
        <v>651</v>
      </c>
      <c r="B2" s="52"/>
    </row>
    <row r="3" spans="1:6" ht="17.25" customHeight="1" thickBot="1">
      <c r="A3" s="45" t="s">
        <v>652</v>
      </c>
      <c r="B3" s="4"/>
      <c r="C3" s="4"/>
      <c r="D3" s="4"/>
      <c r="E3" s="4"/>
      <c r="F3" s="4"/>
    </row>
    <row r="4" spans="1:6" ht="13.5" thickTop="1">
      <c r="A4" s="137" t="s">
        <v>2</v>
      </c>
      <c r="B4" s="181" t="s">
        <v>10</v>
      </c>
      <c r="C4" s="181" t="s">
        <v>3</v>
      </c>
      <c r="D4" s="181" t="s">
        <v>11</v>
      </c>
      <c r="E4" s="136" t="s">
        <v>5</v>
      </c>
      <c r="F4" s="144"/>
    </row>
    <row r="5" spans="1:6">
      <c r="A5" s="138" t="s">
        <v>1</v>
      </c>
      <c r="B5" s="182" t="s">
        <v>18</v>
      </c>
      <c r="C5" s="182" t="s">
        <v>4</v>
      </c>
      <c r="D5" s="182" t="s">
        <v>12</v>
      </c>
      <c r="E5" s="42" t="s">
        <v>6</v>
      </c>
      <c r="F5" s="145"/>
    </row>
    <row r="6" spans="1:6">
      <c r="A6" s="139"/>
      <c r="B6" s="183" t="s">
        <v>19</v>
      </c>
      <c r="C6" s="183"/>
      <c r="D6" s="184"/>
      <c r="E6" s="43"/>
      <c r="F6" s="145"/>
    </row>
    <row r="7" spans="1:6" ht="15">
      <c r="A7" s="140"/>
      <c r="B7" s="185" t="s">
        <v>16</v>
      </c>
      <c r="C7" s="57"/>
      <c r="D7" s="186"/>
      <c r="E7" s="125"/>
      <c r="F7" s="146"/>
    </row>
    <row r="8" spans="1:6" ht="24" customHeight="1">
      <c r="A8" s="169" t="s">
        <v>261</v>
      </c>
      <c r="B8" s="921">
        <v>-37590.066249998286</v>
      </c>
      <c r="C8" s="920">
        <v>602730.73040000012</v>
      </c>
      <c r="D8" s="920">
        <v>-49340.268029998406</v>
      </c>
      <c r="E8" s="919">
        <v>0.91813878811645477</v>
      </c>
      <c r="F8" s="211"/>
    </row>
    <row r="9" spans="1:6" ht="24" customHeight="1">
      <c r="A9" s="170" t="s">
        <v>529</v>
      </c>
      <c r="B9" s="918">
        <v>156963.19999999925</v>
      </c>
      <c r="C9" s="917">
        <v>551252.89999999991</v>
      </c>
      <c r="D9" s="917">
        <v>180201.69999999937</v>
      </c>
      <c r="E9" s="916">
        <v>1.3268947882178932</v>
      </c>
      <c r="F9" s="212"/>
    </row>
    <row r="10" spans="1:6" ht="24" customHeight="1">
      <c r="A10" s="170" t="s">
        <v>506</v>
      </c>
      <c r="B10" s="918">
        <v>5187.2557800002396</v>
      </c>
      <c r="C10" s="917">
        <v>115864.48379999999</v>
      </c>
      <c r="D10" s="917">
        <v>25363.593920000247</v>
      </c>
      <c r="E10" s="916">
        <v>1.2189074087947582</v>
      </c>
      <c r="F10" s="212"/>
    </row>
    <row r="11" spans="1:6" ht="24" customHeight="1">
      <c r="A11" s="170" t="s">
        <v>522</v>
      </c>
      <c r="B11" s="918">
        <v>21960.396000000008</v>
      </c>
      <c r="C11" s="917">
        <v>20589.389999999996</v>
      </c>
      <c r="D11" s="917">
        <v>12375.186000000012</v>
      </c>
      <c r="E11" s="916">
        <v>1.6010467527206982</v>
      </c>
      <c r="F11" s="212"/>
    </row>
    <row r="12" spans="1:6" ht="24" customHeight="1">
      <c r="A12" s="170" t="s">
        <v>600</v>
      </c>
      <c r="B12" s="918">
        <v>-140662</v>
      </c>
      <c r="C12" s="917">
        <v>52701</v>
      </c>
      <c r="D12" s="917">
        <v>-116147</v>
      </c>
      <c r="E12" s="916" t="s">
        <v>601</v>
      </c>
      <c r="F12" s="212"/>
    </row>
    <row r="13" spans="1:6" ht="24" customHeight="1">
      <c r="A13" s="170" t="s">
        <v>509</v>
      </c>
      <c r="B13" s="918">
        <v>-2078</v>
      </c>
      <c r="C13" s="917">
        <v>28671</v>
      </c>
      <c r="D13" s="917">
        <v>-18657</v>
      </c>
      <c r="E13" s="916">
        <v>0.34927278434655229</v>
      </c>
      <c r="F13" s="212"/>
    </row>
    <row r="14" spans="1:6" ht="24" customHeight="1">
      <c r="A14" s="170" t="s">
        <v>511</v>
      </c>
      <c r="B14" s="918">
        <v>-1179</v>
      </c>
      <c r="C14" s="917">
        <v>18551.800000000003</v>
      </c>
      <c r="D14" s="917">
        <v>-6652.0000000000036</v>
      </c>
      <c r="E14" s="916">
        <v>0.64143641048307964</v>
      </c>
      <c r="F14" s="212"/>
    </row>
    <row r="15" spans="1:6" ht="24" customHeight="1">
      <c r="A15" s="170" t="s">
        <v>495</v>
      </c>
      <c r="B15" s="918">
        <v>1186.4999999999418</v>
      </c>
      <c r="C15" s="917">
        <v>12612.699999999997</v>
      </c>
      <c r="D15" s="917">
        <v>7927.5999999999476</v>
      </c>
      <c r="E15" s="916">
        <v>1.6285410736796997</v>
      </c>
      <c r="F15" s="212"/>
    </row>
    <row r="16" spans="1:6" ht="24" customHeight="1">
      <c r="A16" s="170" t="s">
        <v>526</v>
      </c>
      <c r="B16" s="918">
        <v>-20504.192000000039</v>
      </c>
      <c r="C16" s="917">
        <v>77037.654999999984</v>
      </c>
      <c r="D16" s="917">
        <v>-70853.426000000036</v>
      </c>
      <c r="E16" s="916">
        <v>8.0275405579258052E-2</v>
      </c>
      <c r="F16" s="212"/>
    </row>
    <row r="17" spans="1:6" ht="24" customHeight="1">
      <c r="A17" s="170" t="s">
        <v>488</v>
      </c>
      <c r="B17" s="918">
        <v>-900</v>
      </c>
      <c r="C17" s="917">
        <v>142082</v>
      </c>
      <c r="D17" s="917">
        <v>-37413</v>
      </c>
      <c r="E17" s="916">
        <v>0.73668022691122026</v>
      </c>
      <c r="F17" s="212"/>
    </row>
    <row r="18" spans="1:6" ht="24" customHeight="1">
      <c r="A18" s="170" t="s">
        <v>515</v>
      </c>
      <c r="B18" s="918">
        <v>-121346.24999999977</v>
      </c>
      <c r="C18" s="917">
        <v>109065.7</v>
      </c>
      <c r="D18" s="917">
        <v>-160962.68999999977</v>
      </c>
      <c r="E18" s="916" t="s">
        <v>601</v>
      </c>
      <c r="F18" s="212"/>
    </row>
    <row r="19" spans="1:6" ht="24" customHeight="1">
      <c r="A19" s="170" t="s">
        <v>653</v>
      </c>
      <c r="B19" s="918">
        <v>85389.603000000119</v>
      </c>
      <c r="C19" s="917">
        <v>247557.25800000003</v>
      </c>
      <c r="D19" s="917">
        <v>17358.156000000075</v>
      </c>
      <c r="E19" s="916">
        <v>1.0701177422154193</v>
      </c>
      <c r="F19" s="212"/>
    </row>
    <row r="20" spans="1:6" ht="24" customHeight="1">
      <c r="A20" s="170" t="s">
        <v>654</v>
      </c>
      <c r="B20" s="918">
        <v>-4247.6000000005588</v>
      </c>
      <c r="C20" s="917">
        <v>217363.60000000003</v>
      </c>
      <c r="D20" s="917">
        <v>-179758.60000000059</v>
      </c>
      <c r="E20" s="916">
        <v>0.17300504776328438</v>
      </c>
      <c r="F20" s="212"/>
    </row>
    <row r="21" spans="1:6" ht="24" customHeight="1">
      <c r="A21" s="170" t="s">
        <v>602</v>
      </c>
      <c r="B21" s="918">
        <v>-17444.300000000047</v>
      </c>
      <c r="C21" s="917">
        <v>25932.2</v>
      </c>
      <c r="D21" s="917">
        <v>-26012.600000000046</v>
      </c>
      <c r="E21" s="916" t="s">
        <v>601</v>
      </c>
      <c r="F21" s="212"/>
    </row>
    <row r="22" spans="1:6" ht="24" customHeight="1">
      <c r="A22" s="170" t="s">
        <v>655</v>
      </c>
      <c r="B22" s="918">
        <v>-24290.799999999988</v>
      </c>
      <c r="C22" s="917">
        <v>34353.800000000003</v>
      </c>
      <c r="D22" s="917">
        <v>-29940.999999999989</v>
      </c>
      <c r="E22" s="916">
        <v>0.12845158323096756</v>
      </c>
      <c r="F22" s="212"/>
    </row>
    <row r="23" spans="1:6" ht="24" customHeight="1">
      <c r="A23" s="170" t="s">
        <v>603</v>
      </c>
      <c r="B23" s="918">
        <v>449.5000000000291</v>
      </c>
      <c r="C23" s="917">
        <v>8316</v>
      </c>
      <c r="D23" s="917">
        <v>-2550.4999999999709</v>
      </c>
      <c r="E23" s="916">
        <v>0.69330206830207175</v>
      </c>
      <c r="F23" s="212"/>
    </row>
    <row r="24" spans="1:6" ht="24" customHeight="1">
      <c r="A24" s="170" t="s">
        <v>513</v>
      </c>
      <c r="B24" s="918">
        <v>73384.113590000197</v>
      </c>
      <c r="C24" s="917">
        <v>114881.26232000001</v>
      </c>
      <c r="D24" s="917">
        <v>66066.286400000186</v>
      </c>
      <c r="E24" s="916">
        <v>1.5750832212826278</v>
      </c>
      <c r="F24" s="212"/>
    </row>
    <row r="25" spans="1:6" ht="24" customHeight="1">
      <c r="A25" s="170" t="s">
        <v>497</v>
      </c>
      <c r="B25" s="918">
        <v>-33548</v>
      </c>
      <c r="C25" s="917">
        <v>160797</v>
      </c>
      <c r="D25" s="917">
        <v>-38715</v>
      </c>
      <c r="E25" s="916">
        <v>0.75923058266012422</v>
      </c>
      <c r="F25" s="212"/>
    </row>
    <row r="26" spans="1:6" ht="24" customHeight="1">
      <c r="A26" s="170" t="s">
        <v>256</v>
      </c>
      <c r="B26" s="918">
        <v>1707.5999999996275</v>
      </c>
      <c r="C26" s="917">
        <v>205311.39999999997</v>
      </c>
      <c r="D26" s="917">
        <v>13437.099999999657</v>
      </c>
      <c r="E26" s="916">
        <v>1.0654474130515872</v>
      </c>
      <c r="F26" s="212"/>
    </row>
    <row r="27" spans="1:6" ht="24" customHeight="1">
      <c r="A27" s="170" t="s">
        <v>517</v>
      </c>
      <c r="B27" s="918">
        <v>-9029</v>
      </c>
      <c r="C27" s="917">
        <v>82203</v>
      </c>
      <c r="D27" s="917">
        <v>-65965</v>
      </c>
      <c r="E27" s="916">
        <v>0.19753536975536173</v>
      </c>
      <c r="F27" s="212"/>
    </row>
    <row r="28" spans="1:6" ht="24" customHeight="1">
      <c r="A28" s="170" t="s">
        <v>605</v>
      </c>
      <c r="B28" s="918">
        <v>-177594.86150000012</v>
      </c>
      <c r="C28" s="917">
        <v>281817.26555999997</v>
      </c>
      <c r="D28" s="917">
        <v>-278883.16440000013</v>
      </c>
      <c r="E28" s="916">
        <v>1.0411360546592179E-2</v>
      </c>
      <c r="F28" s="212"/>
    </row>
    <row r="29" spans="1:6" ht="24" customHeight="1">
      <c r="A29" s="170" t="s">
        <v>524</v>
      </c>
      <c r="B29" s="918">
        <v>7878.8319999985397</v>
      </c>
      <c r="C29" s="917">
        <v>240904.69215999998</v>
      </c>
      <c r="D29" s="917">
        <v>-49914.000160001451</v>
      </c>
      <c r="E29" s="916">
        <v>0.79280602751045459</v>
      </c>
      <c r="F29" s="212"/>
    </row>
    <row r="30" spans="1:6" ht="24" customHeight="1">
      <c r="A30" s="170" t="s">
        <v>645</v>
      </c>
      <c r="B30" s="918">
        <v>-53545.200000000652</v>
      </c>
      <c r="C30" s="917">
        <v>201770.5</v>
      </c>
      <c r="D30" s="917">
        <v>-82638.50000000064</v>
      </c>
      <c r="E30" s="916">
        <v>0.59043319018389384</v>
      </c>
      <c r="F30" s="212"/>
    </row>
    <row r="31" spans="1:6" ht="24" customHeight="1">
      <c r="A31" s="170" t="s">
        <v>646</v>
      </c>
      <c r="B31" s="918">
        <v>-236753.53099999996</v>
      </c>
      <c r="C31" s="917">
        <v>54193.893000000004</v>
      </c>
      <c r="D31" s="917">
        <v>-235412.31899999996</v>
      </c>
      <c r="E31" s="916" t="s">
        <v>601</v>
      </c>
      <c r="F31" s="212"/>
    </row>
    <row r="32" spans="1:6" ht="24" customHeight="1">
      <c r="A32" s="170" t="s">
        <v>656</v>
      </c>
      <c r="B32" s="918">
        <v>56421.685559995472</v>
      </c>
      <c r="C32" s="917">
        <v>489235.50530999998</v>
      </c>
      <c r="D32" s="917">
        <v>292875.85185999557</v>
      </c>
      <c r="E32" s="916">
        <v>1.4396258408340703</v>
      </c>
      <c r="F32" s="213"/>
    </row>
    <row r="33" spans="1:6" ht="24" customHeight="1">
      <c r="A33" s="214" t="s">
        <v>504</v>
      </c>
      <c r="B33" s="918">
        <v>-1538.634960000054</v>
      </c>
      <c r="C33" s="917">
        <v>37873.74568</v>
      </c>
      <c r="D33" s="917">
        <v>-1848.8966400000572</v>
      </c>
      <c r="E33" s="916">
        <v>0.95118263042632178</v>
      </c>
      <c r="F33" s="215"/>
    </row>
    <row r="34" spans="1:6" ht="27" customHeight="1">
      <c r="A34" s="172" t="e">
        <f>#REF!</f>
        <v>#REF!</v>
      </c>
      <c r="B34" s="173">
        <f>SUM(B8:B33)</f>
        <v>-471722.74978000601</v>
      </c>
      <c r="C34" s="173">
        <f>SUM(C8:C33)</f>
        <v>4133670.4812300005</v>
      </c>
      <c r="D34" s="173">
        <f>SUM(D8:D33)</f>
        <v>-836059.49005000584</v>
      </c>
      <c r="E34" s="174">
        <v>17.947825716612396</v>
      </c>
      <c r="F34" s="147"/>
    </row>
    <row r="35" spans="1:6" ht="15.75" thickBot="1">
      <c r="A35" s="141">
        <v>0</v>
      </c>
      <c r="B35" s="142"/>
      <c r="C35" s="142"/>
      <c r="D35" s="142"/>
      <c r="E35" s="142"/>
      <c r="F35" s="149"/>
    </row>
    <row r="36" spans="1:6" ht="15.75" thickTop="1">
      <c r="A36" s="4" t="s">
        <v>7</v>
      </c>
      <c r="B36" s="4"/>
      <c r="C36" s="4"/>
      <c r="D36" s="4"/>
      <c r="E36" s="44"/>
      <c r="F36" s="44"/>
    </row>
    <row r="37" spans="1:6">
      <c r="A37" s="1" t="s">
        <v>17</v>
      </c>
      <c r="B37" s="4"/>
      <c r="C37" s="4"/>
      <c r="D37" s="4"/>
      <c r="E37" s="4"/>
      <c r="F37" s="4"/>
    </row>
    <row r="38" spans="1:6">
      <c r="A38" t="str">
        <f>'Budget 2015'!A38</f>
        <v>Kantone die HRM2 anwenden, sind mit HRM2 markiert   /  Cantons qui utilises MCH2 sont marqué HRM2</v>
      </c>
      <c r="B38" s="4"/>
      <c r="C38" s="4"/>
      <c r="D38" s="4"/>
      <c r="E38" s="4"/>
      <c r="F38" s="4"/>
    </row>
    <row r="39" spans="1:6">
      <c r="B39" s="4"/>
      <c r="C39" s="4"/>
      <c r="D39" s="4"/>
      <c r="E39" s="4"/>
      <c r="F39" s="4"/>
    </row>
    <row r="40" spans="1:6">
      <c r="A40" s="124"/>
      <c r="B40" s="124"/>
      <c r="C40" s="124"/>
      <c r="D40" s="124"/>
      <c r="E40" s="124"/>
    </row>
    <row r="45" spans="1:6">
      <c r="A45" s="126"/>
    </row>
    <row r="46" spans="1:6">
      <c r="A46" s="127"/>
    </row>
  </sheetData>
  <phoneticPr fontId="7" type="noConversion"/>
  <pageMargins left="0.23622047244094491" right="0.23622047244094491" top="0.74803149606299213" bottom="0.74803149606299213" header="0.31496062992125984" footer="0.31496062992125984"/>
  <pageSetup paperSize="9" scale="91" orientation="portrait" r:id="rId1"/>
  <headerFooter alignWithMargins="0">
    <oddHeader>&amp;LFachgruppe für kantonale Finanzfragen (FkF)
Groupe d'études pour les finances cantonales
&amp;CKanton VD&amp;RZürich, 11.05.2015</oddHeader>
    <oddFooter>&amp;L&amp;F / &amp;A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>
    <pageSetUpPr fitToPage="1"/>
  </sheetPr>
  <dimension ref="A1:F39"/>
  <sheetViews>
    <sheetView topLeftCell="A22" zoomScaleNormal="100" workbookViewId="0">
      <selection activeCell="J32" sqref="J32"/>
    </sheetView>
  </sheetViews>
  <sheetFormatPr baseColWidth="10" defaultRowHeight="12.75"/>
  <cols>
    <col min="1" max="1" width="28.85546875" customWidth="1"/>
    <col min="2" max="2" width="15.28515625" customWidth="1"/>
    <col min="3" max="4" width="16.7109375" customWidth="1"/>
    <col min="5" max="5" width="21.85546875" customWidth="1"/>
    <col min="6" max="6" width="2.140625" customWidth="1"/>
  </cols>
  <sheetData>
    <row r="1" spans="1:6">
      <c r="B1" s="4"/>
      <c r="C1" s="4"/>
      <c r="D1" s="4"/>
      <c r="E1" s="4"/>
      <c r="F1" s="4"/>
    </row>
    <row r="2" spans="1:6" ht="20.25" customHeight="1">
      <c r="A2" s="45" t="s">
        <v>657</v>
      </c>
      <c r="B2" s="52"/>
    </row>
    <row r="3" spans="1:6" ht="17.25" customHeight="1" thickBot="1">
      <c r="A3" s="45" t="s">
        <v>658</v>
      </c>
      <c r="B3" s="4"/>
      <c r="C3" s="4"/>
      <c r="D3" s="4"/>
      <c r="E3" s="4"/>
      <c r="F3" s="4"/>
    </row>
    <row r="4" spans="1:6" ht="13.5" thickTop="1">
      <c r="A4" s="137" t="s">
        <v>2</v>
      </c>
      <c r="B4" s="181" t="s">
        <v>10</v>
      </c>
      <c r="C4" s="181" t="s">
        <v>3</v>
      </c>
      <c r="D4" s="181" t="s">
        <v>11</v>
      </c>
      <c r="E4" s="136" t="s">
        <v>5</v>
      </c>
      <c r="F4" s="144"/>
    </row>
    <row r="5" spans="1:6">
      <c r="A5" s="138" t="s">
        <v>1</v>
      </c>
      <c r="B5" s="182" t="s">
        <v>18</v>
      </c>
      <c r="C5" s="182" t="s">
        <v>4</v>
      </c>
      <c r="D5" s="182" t="s">
        <v>12</v>
      </c>
      <c r="E5" s="42" t="s">
        <v>6</v>
      </c>
      <c r="F5" s="145"/>
    </row>
    <row r="6" spans="1:6">
      <c r="A6" s="139"/>
      <c r="B6" s="183" t="s">
        <v>19</v>
      </c>
      <c r="C6" s="183"/>
      <c r="D6" s="184"/>
      <c r="E6" s="43"/>
      <c r="F6" s="145"/>
    </row>
    <row r="7" spans="1:6" ht="24.6" customHeight="1">
      <c r="A7" s="140"/>
      <c r="B7" s="187" t="s">
        <v>16</v>
      </c>
      <c r="C7" s="188"/>
      <c r="D7" s="188"/>
      <c r="E7" s="125"/>
      <c r="F7" s="146"/>
    </row>
    <row r="8" spans="1:6" ht="24" customHeight="1">
      <c r="A8" s="169" t="s">
        <v>261</v>
      </c>
      <c r="B8" s="932">
        <v>57225.658000001684</v>
      </c>
      <c r="C8" s="931">
        <v>652062.69999999995</v>
      </c>
      <c r="D8" s="931">
        <v>-137497.24899999826</v>
      </c>
      <c r="E8" s="919">
        <v>0.7891349267486113</v>
      </c>
      <c r="F8" s="211"/>
    </row>
    <row r="9" spans="1:6" ht="24" customHeight="1">
      <c r="A9" s="170" t="s">
        <v>529</v>
      </c>
      <c r="B9" s="930">
        <v>10720.099999999627</v>
      </c>
      <c r="C9" s="929">
        <v>610145.89999999991</v>
      </c>
      <c r="D9" s="929">
        <v>57439.899999999674</v>
      </c>
      <c r="E9" s="916">
        <v>1.0941412537558635</v>
      </c>
      <c r="F9" s="212"/>
    </row>
    <row r="10" spans="1:6" ht="24" customHeight="1">
      <c r="A10" s="170" t="s">
        <v>506</v>
      </c>
      <c r="B10" s="930">
        <v>7971.7565099992789</v>
      </c>
      <c r="C10" s="929">
        <v>139934.15399999998</v>
      </c>
      <c r="D10" s="929">
        <v>8825.17088999931</v>
      </c>
      <c r="E10" s="928">
        <v>1.0630665969510154</v>
      </c>
      <c r="F10" s="212"/>
    </row>
    <row r="11" spans="1:6" ht="24" customHeight="1">
      <c r="A11" s="170" t="s">
        <v>522</v>
      </c>
      <c r="B11" s="930">
        <v>6465.2800000000861</v>
      </c>
      <c r="C11" s="929">
        <v>22210.5</v>
      </c>
      <c r="D11" s="929">
        <v>-4742.5199999999131</v>
      </c>
      <c r="E11" s="928">
        <v>0.78647396501655009</v>
      </c>
      <c r="F11" s="212"/>
    </row>
    <row r="12" spans="1:6" ht="24" customHeight="1">
      <c r="A12" s="170" t="s">
        <v>600</v>
      </c>
      <c r="B12" s="930">
        <v>-96801</v>
      </c>
      <c r="C12" s="929">
        <v>80795</v>
      </c>
      <c r="D12" s="929">
        <v>-100611</v>
      </c>
      <c r="E12" s="927" t="s">
        <v>601</v>
      </c>
      <c r="F12" s="212"/>
    </row>
    <row r="13" spans="1:6" ht="24" customHeight="1">
      <c r="A13" s="170" t="s">
        <v>509</v>
      </c>
      <c r="B13" s="930">
        <v>-2064</v>
      </c>
      <c r="C13" s="929">
        <v>29450</v>
      </c>
      <c r="D13" s="929">
        <v>-27342</v>
      </c>
      <c r="E13" s="928">
        <v>7.1578947368421048E-2</v>
      </c>
      <c r="F13" s="212"/>
    </row>
    <row r="14" spans="1:6" ht="24" customHeight="1">
      <c r="A14" s="170" t="s">
        <v>511</v>
      </c>
      <c r="B14" s="933">
        <v>-1908.2999999998719</v>
      </c>
      <c r="C14" s="926">
        <v>18598</v>
      </c>
      <c r="D14" s="926">
        <v>-2941.2999999998719</v>
      </c>
      <c r="E14" s="928">
        <v>0.84184858586945521</v>
      </c>
      <c r="F14" s="212"/>
    </row>
    <row r="15" spans="1:6" ht="24" customHeight="1">
      <c r="A15" s="170" t="s">
        <v>495</v>
      </c>
      <c r="B15" s="930">
        <v>-10931.000000000058</v>
      </c>
      <c r="C15" s="929">
        <v>21815.100000000002</v>
      </c>
      <c r="D15" s="929">
        <v>-18019.10000000006</v>
      </c>
      <c r="E15" s="927">
        <v>0.17400791195089374</v>
      </c>
      <c r="F15" s="212"/>
    </row>
    <row r="16" spans="1:6" ht="24" customHeight="1">
      <c r="A16" s="170" t="s">
        <v>526</v>
      </c>
      <c r="B16" s="930">
        <v>-70743.650999999838</v>
      </c>
      <c r="C16" s="929">
        <v>98822.7</v>
      </c>
      <c r="D16" s="929">
        <v>-86241.725999999835</v>
      </c>
      <c r="E16" s="928">
        <v>0.12730854348242016</v>
      </c>
      <c r="F16" s="212"/>
    </row>
    <row r="17" spans="1:6" ht="24" customHeight="1">
      <c r="A17" s="170" t="s">
        <v>488</v>
      </c>
      <c r="B17" s="930">
        <v>539</v>
      </c>
      <c r="C17" s="929">
        <v>144269</v>
      </c>
      <c r="D17" s="929">
        <v>-17304</v>
      </c>
      <c r="E17" s="928">
        <v>0.88005739278708528</v>
      </c>
      <c r="F17" s="212"/>
    </row>
    <row r="18" spans="1:6" ht="24" customHeight="1">
      <c r="A18" s="170" t="s">
        <v>515</v>
      </c>
      <c r="B18" s="930">
        <v>-112390.89300000016</v>
      </c>
      <c r="C18" s="929">
        <v>130189.70000000001</v>
      </c>
      <c r="D18" s="929">
        <v>-170620.49300000016</v>
      </c>
      <c r="E18" s="916" t="s">
        <v>601</v>
      </c>
      <c r="F18" s="212"/>
    </row>
    <row r="19" spans="1:6" ht="24" customHeight="1">
      <c r="A19" s="170" t="s">
        <v>653</v>
      </c>
      <c r="B19" s="930">
        <v>2229.8059999998659</v>
      </c>
      <c r="C19" s="929">
        <v>375804.5</v>
      </c>
      <c r="D19" s="929">
        <v>-233962.49900000013</v>
      </c>
      <c r="E19" s="916">
        <v>0.37743561080295707</v>
      </c>
      <c r="F19" s="212"/>
    </row>
    <row r="20" spans="1:6" ht="24" customHeight="1">
      <c r="A20" s="170" t="s">
        <v>654</v>
      </c>
      <c r="B20" s="933">
        <v>-933368.20000000019</v>
      </c>
      <c r="C20" s="926">
        <v>204200</v>
      </c>
      <c r="D20" s="926">
        <v>-1074560.4000000001</v>
      </c>
      <c r="E20" s="927" t="s">
        <v>601</v>
      </c>
      <c r="F20" s="212"/>
    </row>
    <row r="21" spans="1:6" ht="24" customHeight="1">
      <c r="A21" s="170" t="s">
        <v>602</v>
      </c>
      <c r="B21" s="930">
        <v>-37833.799999999814</v>
      </c>
      <c r="C21" s="929">
        <v>28414</v>
      </c>
      <c r="D21" s="929">
        <v>-47872.399999999812</v>
      </c>
      <c r="E21" s="927" t="s">
        <v>601</v>
      </c>
      <c r="F21" s="212"/>
    </row>
    <row r="22" spans="1:6" ht="24" customHeight="1">
      <c r="A22" s="170" t="s">
        <v>655</v>
      </c>
      <c r="B22" s="930">
        <v>-7432.5999999999767</v>
      </c>
      <c r="C22" s="929">
        <v>24435</v>
      </c>
      <c r="D22" s="929">
        <v>-29635.599999999977</v>
      </c>
      <c r="E22" s="927" t="s">
        <v>601</v>
      </c>
      <c r="F22" s="212"/>
    </row>
    <row r="23" spans="1:6" ht="24" customHeight="1">
      <c r="A23" s="170" t="s">
        <v>603</v>
      </c>
      <c r="B23" s="930">
        <v>-5877.2999999999884</v>
      </c>
      <c r="C23" s="929">
        <v>8072</v>
      </c>
      <c r="D23" s="929">
        <v>-11594.299999999988</v>
      </c>
      <c r="E23" s="927" t="s">
        <v>601</v>
      </c>
      <c r="F23" s="212"/>
    </row>
    <row r="24" spans="1:6" ht="24" customHeight="1">
      <c r="A24" s="170" t="s">
        <v>513</v>
      </c>
      <c r="B24" s="930">
        <v>-30059</v>
      </c>
      <c r="C24" s="929">
        <v>452233.5</v>
      </c>
      <c r="D24" s="929">
        <v>-429942</v>
      </c>
      <c r="E24" s="927">
        <v>4.9292013970658966E-2</v>
      </c>
      <c r="F24" s="212"/>
    </row>
    <row r="25" spans="1:6" ht="24" customHeight="1">
      <c r="A25" s="170" t="s">
        <v>497</v>
      </c>
      <c r="B25" s="930">
        <v>-58409</v>
      </c>
      <c r="C25" s="929">
        <v>191534</v>
      </c>
      <c r="D25" s="929">
        <v>-71641</v>
      </c>
      <c r="E25" s="928">
        <v>0.62596197019850264</v>
      </c>
      <c r="F25" s="212"/>
    </row>
    <row r="26" spans="1:6" ht="24" customHeight="1">
      <c r="A26" s="170" t="s">
        <v>256</v>
      </c>
      <c r="B26" s="930">
        <v>29610.599999999627</v>
      </c>
      <c r="C26" s="929">
        <v>183233.39999999997</v>
      </c>
      <c r="D26" s="929">
        <v>20166.899999999674</v>
      </c>
      <c r="E26" s="928">
        <v>1.1100612661228775</v>
      </c>
      <c r="F26" s="212"/>
    </row>
    <row r="27" spans="1:6" ht="24" customHeight="1">
      <c r="A27" s="170" t="s">
        <v>517</v>
      </c>
      <c r="B27" s="930">
        <v>-7594</v>
      </c>
      <c r="C27" s="929">
        <v>73280</v>
      </c>
      <c r="D27" s="929">
        <v>-47440</v>
      </c>
      <c r="E27" s="928">
        <v>0.35262008733624456</v>
      </c>
      <c r="F27" s="212"/>
    </row>
    <row r="28" spans="1:6" ht="24" customHeight="1">
      <c r="A28" s="170" t="s">
        <v>605</v>
      </c>
      <c r="B28" s="930">
        <v>-148029.20000000065</v>
      </c>
      <c r="C28" s="929">
        <v>205536.30000000002</v>
      </c>
      <c r="D28" s="929">
        <v>-176665.50000000067</v>
      </c>
      <c r="E28" s="927">
        <v>0.14046569875977793</v>
      </c>
      <c r="F28" s="212"/>
    </row>
    <row r="29" spans="1:6" ht="24" customHeight="1">
      <c r="A29" s="170" t="s">
        <v>524</v>
      </c>
      <c r="B29" s="930">
        <v>24089.300000000745</v>
      </c>
      <c r="C29" s="929">
        <v>369220</v>
      </c>
      <c r="D29" s="929">
        <v>-144438.49999999924</v>
      </c>
      <c r="E29" s="916">
        <v>0.60880098586208964</v>
      </c>
      <c r="F29" s="212"/>
    </row>
    <row r="30" spans="1:6" ht="24" customHeight="1">
      <c r="A30" s="170" t="s">
        <v>645</v>
      </c>
      <c r="B30" s="930">
        <v>5371.8999999999069</v>
      </c>
      <c r="C30" s="929">
        <v>186544.3</v>
      </c>
      <c r="D30" s="929">
        <v>2013.5999999999185</v>
      </c>
      <c r="E30" s="928">
        <v>1.0107942188531085</v>
      </c>
      <c r="F30" s="212"/>
    </row>
    <row r="31" spans="1:6" ht="24" customHeight="1">
      <c r="A31" s="170" t="s">
        <v>646</v>
      </c>
      <c r="B31" s="930">
        <v>-15448.523999999976</v>
      </c>
      <c r="C31" s="929">
        <v>58998.900000000009</v>
      </c>
      <c r="D31" s="929">
        <v>-17616.852999999981</v>
      </c>
      <c r="E31" s="927">
        <v>0.70140370413685715</v>
      </c>
      <c r="F31" s="212"/>
    </row>
    <row r="32" spans="1:6" ht="24" customHeight="1">
      <c r="A32" s="170" t="s">
        <v>656</v>
      </c>
      <c r="B32" s="930">
        <v>244.75899999961257</v>
      </c>
      <c r="C32" s="929">
        <v>645845.83700000006</v>
      </c>
      <c r="D32" s="925">
        <v>-212364.91600000043</v>
      </c>
      <c r="E32" s="927">
        <v>0.6711832703196623</v>
      </c>
      <c r="F32" s="213"/>
    </row>
    <row r="33" spans="1:6" ht="24" customHeight="1">
      <c r="A33" s="214" t="s">
        <v>504</v>
      </c>
      <c r="B33" s="924">
        <v>-5448.2000000000698</v>
      </c>
      <c r="C33" s="923">
        <v>38684.5</v>
      </c>
      <c r="D33" s="923">
        <v>-7548.7000000000698</v>
      </c>
      <c r="E33" s="922">
        <v>0.80486499760885966</v>
      </c>
      <c r="F33" s="215"/>
    </row>
    <row r="34" spans="1:6" ht="22.5" customHeight="1">
      <c r="A34" s="172" t="e">
        <f>#REF!</f>
        <v>#REF!</v>
      </c>
      <c r="B34" s="173">
        <f>SUM(B8:B33)</f>
        <v>-1399870.5084900004</v>
      </c>
      <c r="C34" s="173">
        <f>SUM(C8:C33)</f>
        <v>4994328.9910000004</v>
      </c>
      <c r="D34" s="173">
        <f>SUM(D8:D33)</f>
        <v>-2982156.4851099998</v>
      </c>
      <c r="E34" s="174">
        <v>12.279945016785156</v>
      </c>
      <c r="F34" s="147"/>
    </row>
    <row r="35" spans="1:6" ht="15.75" thickBot="1">
      <c r="A35" s="141">
        <v>0</v>
      </c>
      <c r="B35" s="142"/>
      <c r="C35" s="142"/>
      <c r="D35" s="142"/>
      <c r="E35" s="142"/>
      <c r="F35" s="149"/>
    </row>
    <row r="36" spans="1:6" ht="15.75" thickTop="1">
      <c r="A36" s="4" t="s">
        <v>7</v>
      </c>
      <c r="B36" s="44"/>
      <c r="C36" s="44"/>
      <c r="D36" s="44"/>
      <c r="E36" s="44"/>
      <c r="F36" s="44"/>
    </row>
    <row r="37" spans="1:6">
      <c r="A37" s="1" t="s">
        <v>17</v>
      </c>
      <c r="B37" s="128"/>
      <c r="C37" s="128"/>
      <c r="D37" s="128"/>
      <c r="E37" s="128"/>
      <c r="F37" s="4"/>
    </row>
    <row r="38" spans="1:6">
      <c r="A38" t="str">
        <f>'Budget 2015'!A38</f>
        <v>Kantone die HRM2 anwenden, sind mit HRM2 markiert   /  Cantons qui utilises MCH2 sont marqué HRM2</v>
      </c>
      <c r="B38" s="128"/>
      <c r="C38" s="128"/>
      <c r="D38" s="128"/>
      <c r="E38" s="128"/>
      <c r="F38" s="4"/>
    </row>
    <row r="39" spans="1:6">
      <c r="B39" s="128"/>
      <c r="C39" s="128"/>
      <c r="D39" s="128"/>
      <c r="E39" s="128"/>
      <c r="F39" s="4"/>
    </row>
  </sheetData>
  <phoneticPr fontId="7" type="noConversion"/>
  <pageMargins left="0.23622047244094491" right="0.23622047244094491" top="0.74803149606299213" bottom="0.74803149606299213" header="0.31496062992125984" footer="0.31496062992125984"/>
  <pageSetup paperSize="9" scale="91" orientation="portrait" r:id="rId1"/>
  <headerFooter alignWithMargins="0">
    <oddHeader>&amp;LFachgruppe für kantonale Finanzfragen (FkF)
Groupe d'études pour les finances cantonales
&amp;CKanton VD&amp;RZürich, 11.05.2015</oddHeader>
    <oddFooter>&amp;L&amp;F / &amp;A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>
    <pageSetUpPr fitToPage="1"/>
  </sheetPr>
  <dimension ref="A1:G45"/>
  <sheetViews>
    <sheetView topLeftCell="A10" zoomScaleNormal="100" workbookViewId="0">
      <selection activeCell="E21" sqref="E21"/>
    </sheetView>
  </sheetViews>
  <sheetFormatPr baseColWidth="10" defaultRowHeight="12.75"/>
  <cols>
    <col min="1" max="1" width="28.85546875" customWidth="1"/>
    <col min="2" max="2" width="17.140625" customWidth="1"/>
    <col min="3" max="4" width="16.7109375" customWidth="1"/>
    <col min="5" max="5" width="21.85546875" customWidth="1"/>
    <col min="6" max="6" width="2.140625" customWidth="1"/>
  </cols>
  <sheetData>
    <row r="1" spans="1:7">
      <c r="B1" s="4"/>
      <c r="C1" s="4"/>
      <c r="D1" s="4"/>
      <c r="E1" s="4"/>
      <c r="F1" s="4"/>
    </row>
    <row r="2" spans="1:7" ht="18" customHeight="1">
      <c r="A2" s="45" t="s">
        <v>659</v>
      </c>
      <c r="B2" s="52"/>
    </row>
    <row r="3" spans="1:7" ht="20.25" customHeight="1" thickBot="1">
      <c r="A3" s="45" t="s">
        <v>660</v>
      </c>
      <c r="B3" s="4"/>
      <c r="C3" s="4"/>
      <c r="D3" s="4"/>
      <c r="E3" s="4"/>
      <c r="F3" s="4"/>
    </row>
    <row r="4" spans="1:7" ht="13.5" thickTop="1">
      <c r="A4" s="137" t="s">
        <v>2</v>
      </c>
      <c r="B4" s="181" t="s">
        <v>10</v>
      </c>
      <c r="C4" s="181" t="s">
        <v>3</v>
      </c>
      <c r="D4" s="181" t="s">
        <v>11</v>
      </c>
      <c r="E4" s="136" t="s">
        <v>5</v>
      </c>
      <c r="F4" s="144"/>
    </row>
    <row r="5" spans="1:7">
      <c r="A5" s="138" t="s">
        <v>1</v>
      </c>
      <c r="B5" s="182" t="s">
        <v>18</v>
      </c>
      <c r="C5" s="182" t="s">
        <v>4</v>
      </c>
      <c r="D5" s="182" t="s">
        <v>12</v>
      </c>
      <c r="E5" s="42" t="s">
        <v>6</v>
      </c>
      <c r="F5" s="145"/>
    </row>
    <row r="6" spans="1:7">
      <c r="A6" s="139"/>
      <c r="B6" s="183" t="s">
        <v>19</v>
      </c>
      <c r="C6" s="183"/>
      <c r="D6" s="184"/>
      <c r="E6" s="43"/>
      <c r="F6" s="145"/>
    </row>
    <row r="7" spans="1:7" ht="24.6" customHeight="1">
      <c r="A7" s="140"/>
      <c r="B7" s="187" t="s">
        <v>16</v>
      </c>
      <c r="C7" s="188"/>
      <c r="D7" s="188"/>
      <c r="E7" s="125"/>
      <c r="F7" s="146"/>
    </row>
    <row r="8" spans="1:7" ht="24" customHeight="1">
      <c r="A8" s="169" t="s">
        <v>261</v>
      </c>
      <c r="B8" s="932">
        <v>-122962.35843000002</v>
      </c>
      <c r="C8" s="931">
        <v>440701.41487999994</v>
      </c>
      <c r="D8" s="931">
        <v>82646.259860000107</v>
      </c>
      <c r="E8" s="940">
        <v>1.1875334570516505</v>
      </c>
      <c r="F8" s="211"/>
      <c r="G8" t="s">
        <v>0</v>
      </c>
    </row>
    <row r="9" spans="1:7" ht="24" customHeight="1">
      <c r="A9" s="170" t="s">
        <v>529</v>
      </c>
      <c r="B9" s="930">
        <v>211671.70000000112</v>
      </c>
      <c r="C9" s="929">
        <v>522723.2</v>
      </c>
      <c r="D9" s="929">
        <v>156460.60000000108</v>
      </c>
      <c r="E9" s="916">
        <v>1.2993182625144648</v>
      </c>
      <c r="F9" s="212"/>
    </row>
    <row r="10" spans="1:7" ht="24" customHeight="1">
      <c r="A10" s="170" t="s">
        <v>506</v>
      </c>
      <c r="B10" s="930">
        <v>12768.879639999475</v>
      </c>
      <c r="C10" s="929">
        <v>124147.68662999998</v>
      </c>
      <c r="D10" s="929">
        <v>30855.399549999478</v>
      </c>
      <c r="E10" s="928">
        <v>1.2485378534837985</v>
      </c>
      <c r="F10" s="212"/>
      <c r="G10" t="s">
        <v>0</v>
      </c>
    </row>
    <row r="11" spans="1:7" ht="24" customHeight="1">
      <c r="A11" s="170" t="s">
        <v>522</v>
      </c>
      <c r="B11" s="930">
        <v>15932.5</v>
      </c>
      <c r="C11" s="929">
        <v>24774</v>
      </c>
      <c r="D11" s="929">
        <v>925.20000000000073</v>
      </c>
      <c r="E11" s="928">
        <v>1.0373456042625333</v>
      </c>
      <c r="F11" s="212"/>
    </row>
    <row r="12" spans="1:7" ht="24" customHeight="1">
      <c r="A12" s="170" t="s">
        <v>600</v>
      </c>
      <c r="B12" s="930">
        <v>-211104</v>
      </c>
      <c r="C12" s="929">
        <v>72695</v>
      </c>
      <c r="D12" s="929">
        <v>-207769</v>
      </c>
      <c r="E12" s="927" t="s">
        <v>601</v>
      </c>
      <c r="F12" s="212"/>
    </row>
    <row r="13" spans="1:7" ht="24" customHeight="1">
      <c r="A13" s="170" t="s">
        <v>509</v>
      </c>
      <c r="B13" s="930">
        <v>-3751</v>
      </c>
      <c r="C13" s="929">
        <v>24523</v>
      </c>
      <c r="D13" s="929">
        <v>-22948</v>
      </c>
      <c r="E13" s="928">
        <v>6.4225421033315661E-2</v>
      </c>
      <c r="F13" s="212"/>
    </row>
    <row r="14" spans="1:7" ht="24" customHeight="1">
      <c r="A14" s="170" t="s">
        <v>511</v>
      </c>
      <c r="B14" s="941">
        <v>-1379.3999999999651</v>
      </c>
      <c r="C14" s="926">
        <v>13532.499999999998</v>
      </c>
      <c r="D14" s="926">
        <v>3532.7000000000353</v>
      </c>
      <c r="E14" s="927">
        <v>1.2610530205061914</v>
      </c>
      <c r="F14" s="212"/>
      <c r="G14" t="s">
        <v>0</v>
      </c>
    </row>
    <row r="15" spans="1:7" ht="24" customHeight="1">
      <c r="A15" s="170" t="s">
        <v>495</v>
      </c>
      <c r="B15" s="930">
        <v>14587</v>
      </c>
      <c r="C15" s="929">
        <v>21530</v>
      </c>
      <c r="D15" s="929">
        <v>12577</v>
      </c>
      <c r="E15" s="927">
        <v>1.5841616349280074</v>
      </c>
      <c r="F15" s="212"/>
    </row>
    <row r="16" spans="1:7" ht="24" customHeight="1">
      <c r="A16" s="170" t="s">
        <v>526</v>
      </c>
      <c r="B16" s="930">
        <v>-138993.04294000007</v>
      </c>
      <c r="C16" s="929">
        <v>93408.259920000011</v>
      </c>
      <c r="D16" s="929">
        <v>-162962.15657000008</v>
      </c>
      <c r="E16" s="928" t="s">
        <v>601</v>
      </c>
      <c r="F16" s="212"/>
    </row>
    <row r="17" spans="1:7" ht="24" customHeight="1">
      <c r="A17" s="170" t="s">
        <v>488</v>
      </c>
      <c r="B17" s="930">
        <v>248</v>
      </c>
      <c r="C17" s="929">
        <v>117422</v>
      </c>
      <c r="D17" s="929">
        <v>-851</v>
      </c>
      <c r="E17" s="928">
        <v>0.99275263579227058</v>
      </c>
      <c r="F17" s="212"/>
      <c r="G17" t="s">
        <v>0</v>
      </c>
    </row>
    <row r="18" spans="1:7" ht="24" customHeight="1">
      <c r="A18" s="170" t="s">
        <v>515</v>
      </c>
      <c r="B18" s="930">
        <v>-134854.30000000005</v>
      </c>
      <c r="C18" s="929">
        <v>87372.199999999983</v>
      </c>
      <c r="D18" s="929">
        <v>-152059.00000000003</v>
      </c>
      <c r="E18" s="916" t="s">
        <v>601</v>
      </c>
      <c r="F18" s="212"/>
      <c r="G18" t="s">
        <v>0</v>
      </c>
    </row>
    <row r="19" spans="1:7" ht="24" customHeight="1">
      <c r="A19" s="170" t="s">
        <v>653</v>
      </c>
      <c r="B19" s="930">
        <v>179308.78399999999</v>
      </c>
      <c r="C19" s="929">
        <v>270339.24599999998</v>
      </c>
      <c r="D19" s="929">
        <v>86113.568000000028</v>
      </c>
      <c r="E19" s="916">
        <v>1.3185389072217804</v>
      </c>
      <c r="F19" s="212"/>
    </row>
    <row r="20" spans="1:7" ht="24" customHeight="1">
      <c r="A20" s="170" t="s">
        <v>654</v>
      </c>
      <c r="B20" s="941">
        <v>-1170288.1000000001</v>
      </c>
      <c r="C20" s="926">
        <v>180549.99999999997</v>
      </c>
      <c r="D20" s="926">
        <v>-1287710.2000000002</v>
      </c>
      <c r="E20" s="927" t="s">
        <v>601</v>
      </c>
      <c r="F20" s="212"/>
      <c r="G20" t="s">
        <v>0</v>
      </c>
    </row>
    <row r="21" spans="1:7" ht="24" customHeight="1">
      <c r="A21" s="170" t="s">
        <v>602</v>
      </c>
      <c r="B21" s="930">
        <v>-22674.29019999993</v>
      </c>
      <c r="C21" s="929">
        <v>18459.164784999997</v>
      </c>
      <c r="D21" s="929">
        <v>-23891.298874999928</v>
      </c>
      <c r="E21" s="927" t="s">
        <v>601</v>
      </c>
      <c r="F21" s="212"/>
    </row>
    <row r="22" spans="1:7" ht="24" customHeight="1">
      <c r="A22" s="170" t="s">
        <v>655</v>
      </c>
      <c r="B22" s="930">
        <v>-10135.840000000026</v>
      </c>
      <c r="C22" s="929">
        <v>20268.699999999997</v>
      </c>
      <c r="D22" s="929">
        <v>-24089.140000000021</v>
      </c>
      <c r="E22" s="927" t="s">
        <v>601</v>
      </c>
      <c r="F22" s="212"/>
    </row>
    <row r="23" spans="1:7" ht="24" customHeight="1">
      <c r="A23" s="170" t="s">
        <v>603</v>
      </c>
      <c r="B23" s="930">
        <v>697.30000000004657</v>
      </c>
      <c r="C23" s="929">
        <v>2233.8999999999996</v>
      </c>
      <c r="D23" s="929">
        <v>9698.3000000000466</v>
      </c>
      <c r="E23" s="928">
        <v>5.3414208335198747</v>
      </c>
      <c r="F23" s="212"/>
    </row>
    <row r="24" spans="1:7" ht="24" customHeight="1">
      <c r="A24" s="170" t="s">
        <v>513</v>
      </c>
      <c r="B24" s="930">
        <v>23799.299999999814</v>
      </c>
      <c r="C24" s="929">
        <v>380923</v>
      </c>
      <c r="D24" s="929">
        <v>-307420.10000000021</v>
      </c>
      <c r="E24" s="928">
        <v>0.19295999453957838</v>
      </c>
      <c r="F24" s="212"/>
      <c r="G24" t="s">
        <v>0</v>
      </c>
    </row>
    <row r="25" spans="1:7" ht="24" customHeight="1">
      <c r="A25" s="170" t="s">
        <v>497</v>
      </c>
      <c r="B25" s="930">
        <v>55157</v>
      </c>
      <c r="C25" s="929">
        <v>128020</v>
      </c>
      <c r="D25" s="929">
        <v>60601</v>
      </c>
      <c r="E25" s="928">
        <v>1.4733713482268396</v>
      </c>
      <c r="F25" s="212"/>
      <c r="G25" t="s">
        <v>0</v>
      </c>
    </row>
    <row r="26" spans="1:7" ht="24" customHeight="1">
      <c r="A26" s="170" t="s">
        <v>256</v>
      </c>
      <c r="B26" s="930">
        <v>-74640.402010000311</v>
      </c>
      <c r="C26" s="929">
        <v>153663.07814999999</v>
      </c>
      <c r="D26" s="929">
        <v>-53602.914650000312</v>
      </c>
      <c r="E26" s="928">
        <v>0.65116594503153702</v>
      </c>
      <c r="F26" s="212"/>
      <c r="G26" t="s">
        <v>0</v>
      </c>
    </row>
    <row r="27" spans="1:7" ht="24" customHeight="1">
      <c r="A27" s="170" t="s">
        <v>517</v>
      </c>
      <c r="B27" s="930">
        <v>-5088</v>
      </c>
      <c r="C27" s="929">
        <v>72535</v>
      </c>
      <c r="D27" s="929">
        <v>-35417</v>
      </c>
      <c r="E27" s="928">
        <v>0.51172537395739992</v>
      </c>
      <c r="F27" s="212"/>
    </row>
    <row r="28" spans="1:7" ht="24" customHeight="1">
      <c r="A28" s="170" t="s">
        <v>605</v>
      </c>
      <c r="B28" s="930">
        <v>-128019.07020000089</v>
      </c>
      <c r="C28" s="929">
        <v>208480.79371</v>
      </c>
      <c r="D28" s="929">
        <v>-172400.13865000088</v>
      </c>
      <c r="E28" s="927">
        <v>0.17306464743312458</v>
      </c>
      <c r="F28" s="212"/>
    </row>
    <row r="29" spans="1:7" ht="24" customHeight="1">
      <c r="A29" s="170" t="s">
        <v>524</v>
      </c>
      <c r="B29" s="930">
        <v>81186.544590000063</v>
      </c>
      <c r="C29" s="929">
        <v>343313.54297000001</v>
      </c>
      <c r="D29" s="929">
        <v>196232.26013999997</v>
      </c>
      <c r="E29" s="916">
        <v>1.5715832193580184</v>
      </c>
      <c r="F29" s="212"/>
      <c r="G29" t="s">
        <v>0</v>
      </c>
    </row>
    <row r="30" spans="1:7" ht="24" customHeight="1">
      <c r="A30" s="170" t="s">
        <v>645</v>
      </c>
      <c r="B30" s="930">
        <v>-83922.499999999069</v>
      </c>
      <c r="C30" s="929">
        <v>174960.99999999994</v>
      </c>
      <c r="D30" s="929">
        <v>-84233.199999999022</v>
      </c>
      <c r="E30" s="928">
        <v>0.51856013625894315</v>
      </c>
      <c r="F30" s="212"/>
      <c r="G30" t="s">
        <v>0</v>
      </c>
    </row>
    <row r="31" spans="1:7" ht="24" customHeight="1">
      <c r="A31" s="170" t="s">
        <v>646</v>
      </c>
      <c r="B31" s="930">
        <v>73.184999999590218</v>
      </c>
      <c r="C31" s="929">
        <v>48796.084000000003</v>
      </c>
      <c r="D31" s="929">
        <v>7809.4919999995909</v>
      </c>
      <c r="E31" s="927">
        <v>1.1600434165987499</v>
      </c>
      <c r="F31" s="212"/>
      <c r="G31" t="s">
        <v>0</v>
      </c>
    </row>
    <row r="32" spans="1:7" ht="24" customHeight="1">
      <c r="A32" s="170" t="s">
        <v>656</v>
      </c>
      <c r="B32" s="930">
        <v>6275.3083000006154</v>
      </c>
      <c r="C32" s="929">
        <v>555999.55212000001</v>
      </c>
      <c r="D32" s="929">
        <v>-98293.630059999356</v>
      </c>
      <c r="E32" s="927">
        <v>0.82321275316641818</v>
      </c>
      <c r="F32" s="213"/>
    </row>
    <row r="33" spans="1:6" ht="24" customHeight="1">
      <c r="A33" s="214" t="s">
        <v>504</v>
      </c>
      <c r="B33" s="924">
        <v>507.03813999996055</v>
      </c>
      <c r="C33" s="923">
        <v>36918.987630000003</v>
      </c>
      <c r="D33" s="923">
        <v>2795.7795099999566</v>
      </c>
      <c r="E33" s="922">
        <v>1.0757274153348706</v>
      </c>
      <c r="F33" s="215"/>
    </row>
    <row r="34" spans="1:6" ht="27.75" customHeight="1">
      <c r="A34" s="172" t="e">
        <f>#REF!</f>
        <v>#REF!</v>
      </c>
      <c r="B34" s="173">
        <f>SUM(B8:B33)</f>
        <v>-1505599.7641099999</v>
      </c>
      <c r="C34" s="173">
        <f>SUM(C8:C33)</f>
        <v>4138291.3107949994</v>
      </c>
      <c r="D34" s="173">
        <f>SUM(D8:D33)</f>
        <v>-1983399.2197449999</v>
      </c>
      <c r="E34" s="174">
        <v>23.486301880219372</v>
      </c>
      <c r="F34" s="147"/>
    </row>
    <row r="35" spans="1:6" ht="15.75" thickBot="1">
      <c r="A35" s="143">
        <v>0</v>
      </c>
      <c r="B35" s="142"/>
      <c r="C35" s="142"/>
      <c r="D35" s="142"/>
      <c r="E35" s="142"/>
      <c r="F35" s="149"/>
    </row>
    <row r="36" spans="1:6" ht="15.75" thickTop="1">
      <c r="A36" s="4" t="s">
        <v>7</v>
      </c>
      <c r="B36" s="44"/>
      <c r="C36" s="44"/>
      <c r="D36" s="44"/>
      <c r="E36" s="44"/>
      <c r="F36" s="44"/>
    </row>
    <row r="37" spans="1:6">
      <c r="A37" s="1" t="s">
        <v>17</v>
      </c>
      <c r="B37" s="4"/>
      <c r="C37" s="4"/>
      <c r="D37" s="4"/>
      <c r="E37" s="4"/>
      <c r="F37" s="4"/>
    </row>
    <row r="38" spans="1:6">
      <c r="A38" s="4" t="str">
        <f>'Budget 2015'!A38</f>
        <v>Kantone die HRM2 anwenden, sind mit HRM2 markiert   /  Cantons qui utilises MCH2 sont marqué HRM2</v>
      </c>
      <c r="B38" s="4"/>
      <c r="C38" s="4"/>
      <c r="D38" s="4"/>
      <c r="E38" s="4"/>
      <c r="F38" s="4"/>
    </row>
    <row r="39" spans="1:6">
      <c r="A39" s="4"/>
      <c r="B39" s="4"/>
      <c r="C39" s="4"/>
      <c r="D39" s="4"/>
      <c r="E39" s="4"/>
      <c r="F39" s="4"/>
    </row>
    <row r="40" spans="1:6">
      <c r="A40" s="4"/>
      <c r="B40" s="4"/>
      <c r="C40" s="4"/>
      <c r="D40" s="4"/>
      <c r="E40" s="4"/>
    </row>
    <row r="41" spans="1:6">
      <c r="B41" s="4"/>
      <c r="C41" s="4"/>
      <c r="D41" s="4"/>
      <c r="E41" s="4"/>
    </row>
    <row r="42" spans="1:6">
      <c r="B42" s="4"/>
      <c r="C42" s="4"/>
      <c r="D42" s="4"/>
      <c r="E42" s="4"/>
    </row>
    <row r="43" spans="1:6">
      <c r="B43" s="4"/>
      <c r="C43" s="4"/>
      <c r="D43" s="4"/>
      <c r="E43" s="4"/>
    </row>
    <row r="44" spans="1:6">
      <c r="B44" s="4"/>
      <c r="C44" s="4"/>
      <c r="D44" s="4"/>
      <c r="E44" s="4"/>
    </row>
    <row r="45" spans="1:6">
      <c r="A45" s="4"/>
      <c r="B45" s="4"/>
      <c r="C45" s="4"/>
      <c r="D45" s="4"/>
      <c r="E45" s="4"/>
    </row>
  </sheetData>
  <phoneticPr fontId="7" type="noConversion"/>
  <pageMargins left="0.23622047244094491" right="0.23622047244094491" top="0.74803149606299213" bottom="0.74803149606299213" header="0.31496062992125984" footer="0.31496062992125984"/>
  <pageSetup paperSize="9" scale="90" orientation="portrait" r:id="rId1"/>
  <headerFooter alignWithMargins="0">
    <oddHeader>&amp;LFachgruppe für kantonale Finanzfragen (FkF)
Groupe d'études pour les finances cantonales
&amp;CKanton VD&amp;RZürich, 11.05.2015</oddHeader>
    <oddFooter>&amp;L&amp;F / &amp;A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6">
    <pageSetUpPr fitToPage="1"/>
  </sheetPr>
  <dimension ref="A1:F39"/>
  <sheetViews>
    <sheetView zoomScaleNormal="100" workbookViewId="0">
      <selection activeCell="E10" sqref="E10"/>
    </sheetView>
  </sheetViews>
  <sheetFormatPr baseColWidth="10" defaultRowHeight="12.75"/>
  <cols>
    <col min="1" max="1" width="28.5703125" customWidth="1"/>
    <col min="2" max="2" width="17.140625" customWidth="1"/>
    <col min="3" max="3" width="13.5703125" customWidth="1"/>
    <col min="4" max="4" width="14.85546875" customWidth="1"/>
    <col min="5" max="5" width="22.140625" customWidth="1"/>
    <col min="6" max="6" width="2.140625" customWidth="1"/>
  </cols>
  <sheetData>
    <row r="1" spans="1:6">
      <c r="B1" s="4"/>
      <c r="C1" s="4"/>
      <c r="D1" s="4"/>
      <c r="E1" s="4"/>
      <c r="F1" s="4"/>
    </row>
    <row r="2" spans="1:6" ht="15.75">
      <c r="A2" s="45" t="s">
        <v>661</v>
      </c>
      <c r="B2" s="52"/>
    </row>
    <row r="3" spans="1:6" ht="16.5" thickBot="1">
      <c r="A3" s="45" t="s">
        <v>662</v>
      </c>
      <c r="B3" s="4"/>
      <c r="C3" s="4"/>
      <c r="D3" s="4"/>
      <c r="E3" s="4"/>
      <c r="F3" s="4"/>
    </row>
    <row r="4" spans="1:6" ht="13.5" thickTop="1">
      <c r="A4" s="137" t="s">
        <v>2</v>
      </c>
      <c r="B4" s="181" t="s">
        <v>10</v>
      </c>
      <c r="C4" s="181" t="s">
        <v>3</v>
      </c>
      <c r="D4" s="181" t="s">
        <v>11</v>
      </c>
      <c r="E4" s="136" t="s">
        <v>5</v>
      </c>
      <c r="F4" s="144"/>
    </row>
    <row r="5" spans="1:6">
      <c r="A5" s="138" t="s">
        <v>1</v>
      </c>
      <c r="B5" s="182" t="s">
        <v>18</v>
      </c>
      <c r="C5" s="182" t="s">
        <v>4</v>
      </c>
      <c r="D5" s="182" t="s">
        <v>12</v>
      </c>
      <c r="E5" s="42" t="s">
        <v>6</v>
      </c>
      <c r="F5" s="145"/>
    </row>
    <row r="6" spans="1:6">
      <c r="A6" s="139"/>
      <c r="B6" s="183" t="s">
        <v>19</v>
      </c>
      <c r="C6" s="183"/>
      <c r="D6" s="184"/>
      <c r="E6" s="43"/>
      <c r="F6" s="145"/>
    </row>
    <row r="7" spans="1:6" ht="28.5" customHeight="1">
      <c r="A7" s="140"/>
      <c r="B7" s="187" t="s">
        <v>16</v>
      </c>
      <c r="C7" s="188"/>
      <c r="D7" s="188"/>
      <c r="E7" s="125"/>
      <c r="F7" s="146"/>
    </row>
    <row r="8" spans="1:6" ht="24" customHeight="1">
      <c r="A8" s="189" t="s">
        <v>261</v>
      </c>
      <c r="B8" s="931">
        <v>26554.366350002587</v>
      </c>
      <c r="C8" s="931">
        <v>1205136.5</v>
      </c>
      <c r="D8" s="931">
        <v>-553024.77964999748</v>
      </c>
      <c r="E8" s="940">
        <v>0.54111025626557863</v>
      </c>
      <c r="F8" s="211"/>
    </row>
    <row r="9" spans="1:6" ht="24" customHeight="1">
      <c r="A9" s="170" t="s">
        <v>529</v>
      </c>
      <c r="B9" s="929">
        <v>124320.29999999888</v>
      </c>
      <c r="C9" s="929">
        <v>603671</v>
      </c>
      <c r="D9" s="929">
        <v>7004.6999999989057</v>
      </c>
      <c r="E9" s="916">
        <v>1.0116035058831696</v>
      </c>
      <c r="F9" s="212"/>
    </row>
    <row r="10" spans="1:6" ht="24" customHeight="1">
      <c r="A10" s="170" t="s">
        <v>506</v>
      </c>
      <c r="B10" s="929">
        <v>-24255.360500000883</v>
      </c>
      <c r="C10" s="929">
        <v>137414.266</v>
      </c>
      <c r="D10" s="929">
        <v>-20161.160300000891</v>
      </c>
      <c r="E10" s="928">
        <v>0.85328189796537657</v>
      </c>
      <c r="F10" s="212"/>
    </row>
    <row r="11" spans="1:6" ht="24" customHeight="1">
      <c r="A11" s="170" t="s">
        <v>522</v>
      </c>
      <c r="B11" s="929">
        <v>5391.8999999999651</v>
      </c>
      <c r="C11" s="929">
        <v>23417.1</v>
      </c>
      <c r="D11" s="929">
        <v>-5802.4000000000342</v>
      </c>
      <c r="E11" s="928">
        <v>0.75221526149693885</v>
      </c>
      <c r="F11" s="212"/>
    </row>
    <row r="12" spans="1:6" ht="24" customHeight="1">
      <c r="A12" s="170" t="s">
        <v>600</v>
      </c>
      <c r="B12" s="929">
        <v>-65534</v>
      </c>
      <c r="C12" s="929">
        <v>95174</v>
      </c>
      <c r="D12" s="929">
        <v>-82956</v>
      </c>
      <c r="E12" s="916">
        <v>0.12837539664194003</v>
      </c>
      <c r="F12" s="212"/>
    </row>
    <row r="13" spans="1:6" ht="24" customHeight="1">
      <c r="A13" s="170" t="s">
        <v>509</v>
      </c>
      <c r="B13" s="929">
        <v>-7943</v>
      </c>
      <c r="C13" s="929">
        <v>14330</v>
      </c>
      <c r="D13" s="929">
        <v>-14877</v>
      </c>
      <c r="E13" s="928" t="s">
        <v>601</v>
      </c>
      <c r="F13" s="212"/>
    </row>
    <row r="14" spans="1:6" ht="24" customHeight="1">
      <c r="A14" s="170" t="s">
        <v>511</v>
      </c>
      <c r="B14" s="926">
        <v>-11759</v>
      </c>
      <c r="C14" s="926">
        <v>20956</v>
      </c>
      <c r="D14" s="926">
        <v>-19257</v>
      </c>
      <c r="E14" s="927">
        <v>8.1074632563466309E-2</v>
      </c>
      <c r="F14" s="212"/>
    </row>
    <row r="15" spans="1:6" ht="24" customHeight="1">
      <c r="A15" s="170" t="s">
        <v>495</v>
      </c>
      <c r="B15" s="926">
        <v>-4863</v>
      </c>
      <c r="C15" s="926">
        <v>17994</v>
      </c>
      <c r="D15" s="926">
        <v>-9225</v>
      </c>
      <c r="E15" s="927">
        <v>0.4873291097032344</v>
      </c>
      <c r="F15" s="212"/>
    </row>
    <row r="16" spans="1:6" ht="24" customHeight="1">
      <c r="A16" s="170" t="s">
        <v>526</v>
      </c>
      <c r="B16" s="929">
        <v>-129163.02560000028</v>
      </c>
      <c r="C16" s="929">
        <v>89263.665000000008</v>
      </c>
      <c r="D16" s="929">
        <v>-182259.69060000029</v>
      </c>
      <c r="E16" s="928" t="s">
        <v>601</v>
      </c>
      <c r="F16" s="212"/>
    </row>
    <row r="17" spans="1:6" ht="24" customHeight="1">
      <c r="A17" s="170" t="s">
        <v>488</v>
      </c>
      <c r="B17" s="929">
        <v>174</v>
      </c>
      <c r="C17" s="929">
        <v>139246</v>
      </c>
      <c r="D17" s="929">
        <v>-17262</v>
      </c>
      <c r="E17" s="928">
        <v>0.87603234563290866</v>
      </c>
      <c r="F17" s="212"/>
    </row>
    <row r="18" spans="1:6" ht="24" customHeight="1">
      <c r="A18" s="170" t="s">
        <v>515</v>
      </c>
      <c r="B18" s="929">
        <v>-73660.670000000158</v>
      </c>
      <c r="C18" s="929">
        <v>131133</v>
      </c>
      <c r="D18" s="929">
        <v>-138375.27000000016</v>
      </c>
      <c r="E18" s="916" t="s">
        <v>601</v>
      </c>
      <c r="F18" s="212"/>
    </row>
    <row r="19" spans="1:6" ht="24" customHeight="1">
      <c r="A19" s="170" t="s">
        <v>653</v>
      </c>
      <c r="B19" s="929">
        <v>37407.12799999956</v>
      </c>
      <c r="C19" s="929">
        <v>476070.56700000004</v>
      </c>
      <c r="D19" s="929">
        <v>-257854.04200000051</v>
      </c>
      <c r="E19" s="916">
        <v>0.45837012436015501</v>
      </c>
      <c r="F19" s="212"/>
    </row>
    <row r="20" spans="1:6" ht="24" customHeight="1">
      <c r="A20" s="170" t="s">
        <v>654</v>
      </c>
      <c r="B20" s="926">
        <v>-34983.700000000186</v>
      </c>
      <c r="C20" s="926">
        <v>204031</v>
      </c>
      <c r="D20" s="926">
        <v>-178574.10000000018</v>
      </c>
      <c r="E20" s="927">
        <v>0.12476976537878955</v>
      </c>
      <c r="F20" s="212"/>
    </row>
    <row r="21" spans="1:6" ht="24" customHeight="1">
      <c r="A21" s="170" t="s">
        <v>602</v>
      </c>
      <c r="B21" s="929">
        <v>-29082.600000000093</v>
      </c>
      <c r="C21" s="929">
        <v>26672</v>
      </c>
      <c r="D21" s="929">
        <v>-36591.900000000096</v>
      </c>
      <c r="E21" s="927" t="s">
        <v>601</v>
      </c>
      <c r="F21" s="212"/>
    </row>
    <row r="22" spans="1:6" ht="24" customHeight="1">
      <c r="A22" s="170" t="s">
        <v>655</v>
      </c>
      <c r="B22" s="929">
        <v>12300</v>
      </c>
      <c r="C22" s="929">
        <v>25271.4</v>
      </c>
      <c r="D22" s="929">
        <v>-10492.300000000001</v>
      </c>
      <c r="E22" s="928">
        <v>0.58481524569275933</v>
      </c>
      <c r="F22" s="212"/>
    </row>
    <row r="23" spans="1:6" ht="24" customHeight="1">
      <c r="A23" s="170" t="s">
        <v>603</v>
      </c>
      <c r="B23" s="929">
        <v>-4849.2999999999884</v>
      </c>
      <c r="C23" s="929">
        <v>16506</v>
      </c>
      <c r="D23" s="929">
        <v>-18762.299999999988</v>
      </c>
      <c r="E23" s="927" t="s">
        <v>601</v>
      </c>
      <c r="F23" s="212"/>
    </row>
    <row r="24" spans="1:6" ht="24" customHeight="1">
      <c r="A24" s="170" t="s">
        <v>513</v>
      </c>
      <c r="B24" s="929">
        <v>-75784.5</v>
      </c>
      <c r="C24" s="929">
        <v>274895.59999999998</v>
      </c>
      <c r="D24" s="929">
        <v>-196547.59999999998</v>
      </c>
      <c r="E24" s="928">
        <v>0.28501001834878409</v>
      </c>
      <c r="F24" s="212"/>
    </row>
    <row r="25" spans="1:6" ht="24" customHeight="1">
      <c r="A25" s="170" t="s">
        <v>497</v>
      </c>
      <c r="B25" s="929">
        <v>-54917</v>
      </c>
      <c r="C25" s="929">
        <v>207669</v>
      </c>
      <c r="D25" s="929">
        <v>-85913</v>
      </c>
      <c r="E25" s="928">
        <v>0.58629838830061298</v>
      </c>
      <c r="F25" s="212"/>
    </row>
    <row r="26" spans="1:6" ht="24" customHeight="1">
      <c r="A26" s="170" t="s">
        <v>256</v>
      </c>
      <c r="B26" s="929">
        <v>-1143.0336100002751</v>
      </c>
      <c r="C26" s="929">
        <v>217592.82</v>
      </c>
      <c r="D26" s="929">
        <v>13066.341929999704</v>
      </c>
      <c r="E26" s="928">
        <v>1.0600495086648525</v>
      </c>
      <c r="F26" s="212"/>
    </row>
    <row r="27" spans="1:6" ht="24" customHeight="1">
      <c r="A27" s="170" t="s">
        <v>517</v>
      </c>
      <c r="B27" s="929">
        <v>-3152</v>
      </c>
      <c r="C27" s="929">
        <v>64984</v>
      </c>
      <c r="D27" s="929">
        <v>-32924</v>
      </c>
      <c r="E27" s="928">
        <v>0.49335220977471378</v>
      </c>
      <c r="F27" s="212"/>
    </row>
    <row r="28" spans="1:6" ht="24" customHeight="1">
      <c r="A28" s="170" t="s">
        <v>605</v>
      </c>
      <c r="B28" s="929">
        <v>-120426.69000000041</v>
      </c>
      <c r="C28" s="929">
        <v>210619.05</v>
      </c>
      <c r="D28" s="929">
        <v>-151265.7400000004</v>
      </c>
      <c r="E28" s="927">
        <v>0.28180409132032264</v>
      </c>
      <c r="F28" s="212"/>
    </row>
    <row r="29" spans="1:6" ht="24" customHeight="1">
      <c r="A29" s="170" t="s">
        <v>524</v>
      </c>
      <c r="B29" s="929">
        <v>26191</v>
      </c>
      <c r="C29" s="929">
        <v>421474</v>
      </c>
      <c r="D29" s="929">
        <v>-187692.5</v>
      </c>
      <c r="E29" s="916">
        <v>0.55467597052249962</v>
      </c>
      <c r="F29" s="212"/>
    </row>
    <row r="30" spans="1:6" ht="24" customHeight="1">
      <c r="A30" s="170" t="s">
        <v>645</v>
      </c>
      <c r="B30" s="929">
        <v>5818.5999999996275</v>
      </c>
      <c r="C30" s="929">
        <v>190559.90000000002</v>
      </c>
      <c r="D30" s="929">
        <v>28009.699999999604</v>
      </c>
      <c r="E30" s="928">
        <v>1.1469863281834194</v>
      </c>
      <c r="F30" s="212"/>
    </row>
    <row r="31" spans="1:6" ht="24" customHeight="1">
      <c r="A31" s="170" t="s">
        <v>646</v>
      </c>
      <c r="B31" s="929">
        <v>-11272.680999999866</v>
      </c>
      <c r="C31" s="929">
        <v>57021.241000000002</v>
      </c>
      <c r="D31" s="929">
        <v>-16961.466999999866</v>
      </c>
      <c r="E31" s="928">
        <v>0.70254125125056699</v>
      </c>
      <c r="F31" s="212"/>
    </row>
    <row r="32" spans="1:6" ht="24" customHeight="1">
      <c r="A32" s="170" t="s">
        <v>656</v>
      </c>
      <c r="B32" s="929">
        <v>13759.528580615297</v>
      </c>
      <c r="C32" s="929">
        <v>735706.15600000008</v>
      </c>
      <c r="D32" s="929">
        <v>-281452.3974193848</v>
      </c>
      <c r="E32" s="942">
        <v>0.61743911597854728</v>
      </c>
      <c r="F32" s="213"/>
    </row>
    <row r="33" spans="1:6" ht="24" customHeight="1">
      <c r="A33" s="171" t="s">
        <v>504</v>
      </c>
      <c r="B33" s="939">
        <v>-4072.3499999999767</v>
      </c>
      <c r="C33" s="939">
        <v>39488.700000000004</v>
      </c>
      <c r="D33" s="939">
        <v>-7582.0499999999811</v>
      </c>
      <c r="E33" s="938">
        <v>0.8079944389154371</v>
      </c>
      <c r="F33" s="224"/>
    </row>
    <row r="34" spans="1:6" ht="24.75" customHeight="1">
      <c r="A34" s="937" t="e">
        <f>#REF!</f>
        <v>#REF!</v>
      </c>
      <c r="B34" s="936">
        <f>SUM(B8:B33)</f>
        <v>-404945.0877793862</v>
      </c>
      <c r="C34" s="935">
        <f>SUM(C8:C33)</f>
        <v>5646296.9650000017</v>
      </c>
      <c r="D34" s="935">
        <f>SUM(D8:D33)</f>
        <v>-2457732.9550393857</v>
      </c>
      <c r="E34" s="934">
        <v>12.435128862844072</v>
      </c>
      <c r="F34" s="147"/>
    </row>
    <row r="35" spans="1:6" ht="15.75" thickBot="1">
      <c r="A35" s="141">
        <v>0</v>
      </c>
      <c r="B35" s="142"/>
      <c r="C35" s="142"/>
      <c r="D35" s="142"/>
      <c r="E35" s="142"/>
      <c r="F35" s="149"/>
    </row>
    <row r="36" spans="1:6" ht="15.75" thickTop="1">
      <c r="A36" s="4" t="s">
        <v>7</v>
      </c>
      <c r="B36" s="44"/>
      <c r="C36" s="44"/>
      <c r="D36" s="44"/>
      <c r="E36" s="44"/>
      <c r="F36" s="44"/>
    </row>
    <row r="37" spans="1:6">
      <c r="A37" t="s">
        <v>17</v>
      </c>
      <c r="B37" s="4"/>
      <c r="C37" s="4"/>
      <c r="D37" s="4"/>
      <c r="E37" s="4"/>
      <c r="F37" s="4"/>
    </row>
    <row r="38" spans="1:6">
      <c r="A38" t="s">
        <v>20</v>
      </c>
      <c r="B38" s="4"/>
      <c r="C38" s="4"/>
      <c r="D38" s="4"/>
      <c r="E38" s="4"/>
      <c r="F38" s="4"/>
    </row>
    <row r="39" spans="1:6">
      <c r="B39" s="4"/>
      <c r="C39" s="4"/>
      <c r="D39" s="4"/>
      <c r="E39" s="4"/>
      <c r="F39" s="4"/>
    </row>
  </sheetData>
  <phoneticPr fontId="7" type="noConversion"/>
  <pageMargins left="0.23622047244094491" right="0.23622047244094491" top="0.74803149606299213" bottom="0.74803149606299213" header="0.31496062992125984" footer="0.31496062992125984"/>
  <pageSetup paperSize="9" scale="91" orientation="portrait" r:id="rId1"/>
  <headerFooter alignWithMargins="0">
    <oddHeader>&amp;LFachgruppe für kantonale Finanzfragen (FkF)
Groupe d'études pour les finances cantonales
&amp;CKanton VD&amp;RZürich, 11.05.2015</oddHeader>
    <oddFooter>&amp;L&amp;F / &amp;A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>
    <pageSetUpPr fitToPage="1"/>
  </sheetPr>
  <dimension ref="A1:BJ62"/>
  <sheetViews>
    <sheetView zoomScaleNormal="100" workbookViewId="0">
      <selection activeCell="E6" sqref="E6"/>
    </sheetView>
  </sheetViews>
  <sheetFormatPr baseColWidth="10" defaultRowHeight="12.75"/>
  <cols>
    <col min="1" max="1" width="23.85546875" style="83" customWidth="1"/>
    <col min="2" max="2" width="14.7109375" style="87" customWidth="1"/>
    <col min="3" max="3" width="19.42578125" style="87" customWidth="1"/>
    <col min="4" max="6" width="15.28515625" style="87" customWidth="1"/>
    <col min="7" max="7" width="2.140625" customWidth="1"/>
    <col min="8" max="8" width="11.42578125" style="65" customWidth="1"/>
    <col min="9" max="9" width="25.7109375" style="71" customWidth="1"/>
    <col min="10" max="10" width="14.85546875" style="71" customWidth="1"/>
    <col min="11" max="11" width="16.7109375" style="71" customWidth="1"/>
    <col min="12" max="12" width="18.7109375" style="71" customWidth="1"/>
    <col min="13" max="13" width="13.7109375" style="71" customWidth="1"/>
    <col min="14" max="14" width="13.7109375" style="71" hidden="1" customWidth="1"/>
    <col min="15" max="15" width="13.42578125" style="71" customWidth="1"/>
    <col min="16" max="62" width="11.42578125" style="52" customWidth="1"/>
  </cols>
  <sheetData>
    <row r="1" spans="1:62" s="69" customFormat="1" ht="37.5" customHeight="1" thickBot="1">
      <c r="A1" s="959" t="s">
        <v>13</v>
      </c>
      <c r="B1" s="960"/>
      <c r="C1" s="959"/>
      <c r="D1" s="959"/>
      <c r="E1" s="959"/>
      <c r="F1" s="959"/>
      <c r="G1" s="4"/>
      <c r="H1" s="66"/>
      <c r="I1" s="67"/>
      <c r="J1" s="67"/>
      <c r="K1" s="67"/>
      <c r="L1" s="67"/>
      <c r="M1" s="67"/>
      <c r="N1" s="67"/>
      <c r="O1" s="67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  <c r="AB1" s="68"/>
      <c r="AC1" s="68"/>
      <c r="AD1" s="68"/>
      <c r="AE1" s="68"/>
      <c r="AF1" s="68"/>
      <c r="AG1" s="68"/>
      <c r="AH1" s="68"/>
      <c r="AI1" s="68"/>
      <c r="AJ1" s="68"/>
      <c r="AK1" s="68"/>
      <c r="AL1" s="68"/>
      <c r="AM1" s="68"/>
      <c r="AN1" s="68"/>
      <c r="AO1" s="68"/>
      <c r="AP1" s="68"/>
      <c r="AQ1" s="68"/>
      <c r="AR1" s="68"/>
      <c r="AS1" s="68"/>
      <c r="AT1" s="68"/>
      <c r="AU1" s="68"/>
      <c r="AV1" s="68"/>
      <c r="AW1" s="68"/>
      <c r="AX1" s="68"/>
      <c r="AY1" s="68"/>
      <c r="AZ1" s="68"/>
      <c r="BA1" s="68"/>
      <c r="BB1" s="68"/>
      <c r="BC1" s="68"/>
      <c r="BD1" s="68"/>
      <c r="BE1" s="68"/>
      <c r="BF1" s="68"/>
      <c r="BG1" s="68"/>
      <c r="BH1" s="68"/>
      <c r="BI1" s="68"/>
      <c r="BJ1" s="68"/>
    </row>
    <row r="2" spans="1:62" ht="15" customHeight="1" thickTop="1">
      <c r="A2" s="129" t="s">
        <v>2</v>
      </c>
      <c r="B2" s="191" t="s">
        <v>254</v>
      </c>
      <c r="C2" s="191" t="s">
        <v>255</v>
      </c>
      <c r="D2" s="191" t="s">
        <v>648</v>
      </c>
      <c r="E2" s="191" t="s">
        <v>254</v>
      </c>
      <c r="F2" s="70" t="s">
        <v>648</v>
      </c>
      <c r="G2" s="144"/>
      <c r="I2" s="42"/>
      <c r="J2" s="42"/>
      <c r="K2" s="42"/>
      <c r="L2" s="42"/>
      <c r="M2" s="42"/>
      <c r="N2" s="42"/>
    </row>
    <row r="3" spans="1:62" ht="15">
      <c r="A3" s="72" t="s">
        <v>1</v>
      </c>
      <c r="B3" s="192" t="s">
        <v>254</v>
      </c>
      <c r="C3" s="192" t="s">
        <v>487</v>
      </c>
      <c r="D3" s="193" t="s">
        <v>649</v>
      </c>
      <c r="E3" s="192" t="s">
        <v>254</v>
      </c>
      <c r="F3" s="216" t="s">
        <v>650</v>
      </c>
      <c r="G3" s="226"/>
      <c r="I3" s="42"/>
      <c r="J3" s="42"/>
      <c r="K3" s="42"/>
      <c r="L3" s="42"/>
      <c r="M3" s="42"/>
      <c r="N3" s="42"/>
    </row>
    <row r="4" spans="1:62" ht="18" customHeight="1">
      <c r="A4" s="133">
        <v>0</v>
      </c>
      <c r="B4" s="194">
        <v>2014</v>
      </c>
      <c r="C4" s="194">
        <v>2014</v>
      </c>
      <c r="D4" s="195">
        <v>0</v>
      </c>
      <c r="E4" s="194">
        <v>2015</v>
      </c>
      <c r="F4" s="134">
        <v>0</v>
      </c>
      <c r="G4" s="148"/>
      <c r="I4" s="42"/>
      <c r="J4" s="42"/>
      <c r="K4" s="42"/>
      <c r="L4" s="42"/>
      <c r="M4" s="42"/>
      <c r="N4" s="42"/>
    </row>
    <row r="5" spans="1:62" s="78" customFormat="1" ht="25.5" customHeight="1">
      <c r="A5" s="130" t="s">
        <v>16</v>
      </c>
      <c r="B5" s="196">
        <v>0</v>
      </c>
      <c r="C5" s="197">
        <v>0</v>
      </c>
      <c r="D5" s="198">
        <v>0</v>
      </c>
      <c r="E5" s="199" t="s">
        <v>502</v>
      </c>
      <c r="F5" s="217">
        <v>0</v>
      </c>
      <c r="G5" s="227"/>
      <c r="H5" s="53"/>
      <c r="I5" s="74"/>
      <c r="J5" s="42"/>
      <c r="K5" s="74"/>
      <c r="L5" s="74"/>
      <c r="M5" s="74"/>
      <c r="N5" s="75"/>
      <c r="O5" s="76"/>
      <c r="P5" s="77"/>
      <c r="Q5" s="77"/>
      <c r="R5" s="77"/>
      <c r="S5" s="77"/>
      <c r="T5" s="77"/>
      <c r="U5" s="77"/>
      <c r="V5" s="77"/>
      <c r="W5" s="77"/>
      <c r="X5" s="77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</row>
    <row r="6" spans="1:62" s="78" customFormat="1" ht="24" customHeight="1">
      <c r="A6" s="190" t="s">
        <v>261</v>
      </c>
      <c r="B6" s="151">
        <v>57225.658000001684</v>
      </c>
      <c r="C6" s="151">
        <v>-122962.35843000002</v>
      </c>
      <c r="D6" s="152">
        <v>-180188.01643000171</v>
      </c>
      <c r="E6" s="200">
        <v>26554.366350002587</v>
      </c>
      <c r="F6" s="218">
        <v>149516.72478000261</v>
      </c>
      <c r="G6" s="223"/>
      <c r="H6" s="53"/>
      <c r="I6" s="80"/>
      <c r="J6" s="81"/>
      <c r="K6" s="81"/>
      <c r="L6" s="81"/>
      <c r="M6" s="61"/>
      <c r="N6" s="75"/>
      <c r="O6" s="76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  <c r="AD6" s="77"/>
      <c r="AE6" s="77"/>
      <c r="AF6" s="77"/>
      <c r="AG6" s="77"/>
      <c r="AH6" s="77"/>
      <c r="AI6" s="77"/>
      <c r="AJ6" s="77"/>
      <c r="AK6" s="77"/>
      <c r="AL6" s="77"/>
      <c r="AM6" s="77"/>
      <c r="AN6" s="77"/>
      <c r="AO6" s="77"/>
      <c r="AP6" s="77"/>
      <c r="AQ6" s="77"/>
      <c r="AR6" s="77"/>
      <c r="AS6" s="77"/>
      <c r="AT6" s="77"/>
      <c r="AU6" s="77"/>
      <c r="AV6" s="77"/>
      <c r="AW6" s="77"/>
      <c r="AX6" s="77"/>
      <c r="AY6" s="77"/>
      <c r="AZ6" s="77"/>
      <c r="BA6" s="77"/>
      <c r="BB6" s="77"/>
      <c r="BC6" s="77"/>
      <c r="BD6" s="77"/>
      <c r="BE6" s="77"/>
      <c r="BF6" s="77"/>
      <c r="BG6" s="77"/>
      <c r="BH6" s="77"/>
      <c r="BI6" s="77"/>
      <c r="BJ6" s="77"/>
    </row>
    <row r="7" spans="1:62" s="78" customFormat="1" ht="24" customHeight="1">
      <c r="A7" s="96" t="s">
        <v>529</v>
      </c>
      <c r="B7" s="97">
        <v>10720.099999999627</v>
      </c>
      <c r="C7" s="97">
        <v>211671.70000000112</v>
      </c>
      <c r="D7" s="97">
        <v>200951.60000000149</v>
      </c>
      <c r="E7" s="106">
        <v>124320.29999999888</v>
      </c>
      <c r="F7" s="219">
        <v>-87351.400000002235</v>
      </c>
      <c r="G7" s="212"/>
      <c r="H7" s="53"/>
      <c r="I7" s="80"/>
      <c r="J7" s="81"/>
      <c r="K7" s="81"/>
      <c r="L7" s="81"/>
      <c r="M7" s="58"/>
      <c r="N7" s="75"/>
      <c r="O7" s="76"/>
      <c r="P7" s="77"/>
      <c r="Q7" s="77"/>
      <c r="R7" s="77"/>
      <c r="S7" s="77"/>
      <c r="T7" s="77"/>
      <c r="U7" s="77"/>
      <c r="V7" s="77"/>
      <c r="W7" s="77"/>
      <c r="X7" s="77"/>
      <c r="Y7" s="77"/>
      <c r="Z7" s="77"/>
      <c r="AA7" s="77"/>
      <c r="AB7" s="77"/>
      <c r="AC7" s="77"/>
      <c r="AD7" s="77"/>
      <c r="AE7" s="77"/>
      <c r="AF7" s="77"/>
      <c r="AG7" s="77"/>
      <c r="AH7" s="77"/>
      <c r="AI7" s="77"/>
      <c r="AJ7" s="77"/>
      <c r="AK7" s="77"/>
      <c r="AL7" s="77"/>
      <c r="AM7" s="77"/>
      <c r="AN7" s="77"/>
      <c r="AO7" s="77"/>
      <c r="AP7" s="77"/>
      <c r="AQ7" s="77"/>
      <c r="AR7" s="77"/>
      <c r="AS7" s="77"/>
      <c r="AT7" s="77"/>
      <c r="AU7" s="77"/>
      <c r="AV7" s="77"/>
      <c r="AW7" s="77"/>
      <c r="AX7" s="77"/>
      <c r="AY7" s="77"/>
      <c r="AZ7" s="77"/>
      <c r="BA7" s="77"/>
      <c r="BB7" s="77"/>
      <c r="BC7" s="77"/>
      <c r="BD7" s="77"/>
      <c r="BE7" s="77"/>
      <c r="BF7" s="77"/>
      <c r="BG7" s="77"/>
      <c r="BH7" s="77"/>
      <c r="BI7" s="77"/>
      <c r="BJ7" s="77"/>
    </row>
    <row r="8" spans="1:62" s="78" customFormat="1" ht="24" customHeight="1">
      <c r="A8" s="96" t="s">
        <v>506</v>
      </c>
      <c r="B8" s="97">
        <v>7971.7565099992789</v>
      </c>
      <c r="C8" s="97">
        <v>12768.879639999475</v>
      </c>
      <c r="D8" s="97">
        <v>4797.1231300001964</v>
      </c>
      <c r="E8" s="153">
        <v>-24255.360500000883</v>
      </c>
      <c r="F8" s="219">
        <v>-37024.240140000358</v>
      </c>
      <c r="G8" s="212"/>
      <c r="H8" s="53"/>
      <c r="I8" s="80"/>
      <c r="J8" s="81"/>
      <c r="K8" s="81"/>
      <c r="L8" s="81"/>
      <c r="M8" s="61"/>
      <c r="N8" s="75"/>
      <c r="O8" s="76"/>
      <c r="P8" s="77"/>
      <c r="Q8" s="77"/>
      <c r="R8" s="77"/>
      <c r="S8" s="77"/>
      <c r="T8" s="77"/>
      <c r="U8" s="77"/>
      <c r="V8" s="77"/>
      <c r="W8" s="77"/>
      <c r="X8" s="77"/>
      <c r="Y8" s="77"/>
      <c r="Z8" s="77"/>
      <c r="AA8" s="77"/>
      <c r="AB8" s="77"/>
      <c r="AC8" s="77"/>
      <c r="AD8" s="77"/>
      <c r="AE8" s="77"/>
      <c r="AF8" s="77"/>
      <c r="AG8" s="77"/>
      <c r="AH8" s="77"/>
      <c r="AI8" s="77"/>
      <c r="AJ8" s="77"/>
      <c r="AK8" s="77"/>
      <c r="AL8" s="77"/>
      <c r="AM8" s="77"/>
      <c r="AN8" s="77"/>
      <c r="AO8" s="77"/>
      <c r="AP8" s="77"/>
      <c r="AQ8" s="77"/>
      <c r="AR8" s="77"/>
      <c r="AS8" s="77"/>
      <c r="AT8" s="77"/>
      <c r="AU8" s="77"/>
      <c r="AV8" s="77"/>
      <c r="AW8" s="77"/>
      <c r="AX8" s="77"/>
      <c r="AY8" s="77"/>
      <c r="AZ8" s="77"/>
      <c r="BA8" s="77"/>
      <c r="BB8" s="77"/>
      <c r="BC8" s="77"/>
      <c r="BD8" s="77"/>
      <c r="BE8" s="77"/>
      <c r="BF8" s="77"/>
      <c r="BG8" s="77"/>
      <c r="BH8" s="77"/>
      <c r="BI8" s="77"/>
      <c r="BJ8" s="77"/>
    </row>
    <row r="9" spans="1:62" s="78" customFormat="1" ht="24" customHeight="1">
      <c r="A9" s="96" t="s">
        <v>522</v>
      </c>
      <c r="B9" s="97">
        <v>6465.2800000000861</v>
      </c>
      <c r="C9" s="97">
        <v>15932.5</v>
      </c>
      <c r="D9" s="97">
        <v>9467.2199999999139</v>
      </c>
      <c r="E9" s="153">
        <v>5391.8999999999651</v>
      </c>
      <c r="F9" s="219">
        <v>-10540.600000000035</v>
      </c>
      <c r="G9" s="212"/>
      <c r="H9" s="53"/>
      <c r="I9" s="80"/>
      <c r="J9" s="81"/>
      <c r="K9" s="81"/>
      <c r="L9" s="81"/>
      <c r="M9" s="61"/>
      <c r="N9" s="75"/>
      <c r="O9" s="76"/>
      <c r="P9" s="77"/>
      <c r="Q9" s="77"/>
      <c r="R9" s="77"/>
      <c r="S9" s="77"/>
      <c r="T9" s="77"/>
      <c r="U9" s="77"/>
      <c r="V9" s="77"/>
      <c r="W9" s="77"/>
      <c r="X9" s="77"/>
      <c r="Y9" s="77"/>
      <c r="Z9" s="77"/>
      <c r="AA9" s="77"/>
      <c r="AB9" s="77"/>
      <c r="AC9" s="77"/>
      <c r="AD9" s="77"/>
      <c r="AE9" s="77"/>
      <c r="AF9" s="77"/>
      <c r="AG9" s="77"/>
      <c r="AH9" s="77"/>
      <c r="AI9" s="77"/>
      <c r="AJ9" s="77"/>
      <c r="AK9" s="77"/>
      <c r="AL9" s="77"/>
      <c r="AM9" s="77"/>
      <c r="AN9" s="77"/>
      <c r="AO9" s="77"/>
      <c r="AP9" s="77"/>
      <c r="AQ9" s="77"/>
      <c r="AR9" s="77"/>
      <c r="AS9" s="77"/>
      <c r="AT9" s="77"/>
      <c r="AU9" s="77"/>
      <c r="AV9" s="77"/>
      <c r="AW9" s="77"/>
      <c r="AX9" s="77"/>
      <c r="AY9" s="77"/>
      <c r="AZ9" s="77"/>
      <c r="BA9" s="77"/>
      <c r="BB9" s="77"/>
      <c r="BC9" s="77"/>
      <c r="BD9" s="77"/>
      <c r="BE9" s="77"/>
      <c r="BF9" s="77"/>
      <c r="BG9" s="77"/>
      <c r="BH9" s="77"/>
      <c r="BI9" s="77"/>
      <c r="BJ9" s="77"/>
    </row>
    <row r="10" spans="1:62" s="78" customFormat="1" ht="24" customHeight="1">
      <c r="A10" s="96" t="s">
        <v>600</v>
      </c>
      <c r="B10" s="97">
        <v>-96801</v>
      </c>
      <c r="C10" s="97">
        <v>-211104</v>
      </c>
      <c r="D10" s="97">
        <v>-114303</v>
      </c>
      <c r="E10" s="107">
        <v>-65534</v>
      </c>
      <c r="F10" s="219">
        <v>145570</v>
      </c>
      <c r="G10" s="212"/>
      <c r="H10" s="53"/>
      <c r="I10" s="80"/>
      <c r="J10" s="81"/>
      <c r="K10" s="81"/>
      <c r="L10" s="81"/>
      <c r="M10" s="61"/>
      <c r="N10" s="75"/>
      <c r="O10" s="76"/>
      <c r="P10" s="77"/>
      <c r="Q10" s="77"/>
      <c r="R10" s="77"/>
      <c r="S10" s="77"/>
      <c r="T10" s="77"/>
      <c r="U10" s="77"/>
      <c r="V10" s="77"/>
      <c r="W10" s="77"/>
      <c r="X10" s="77"/>
      <c r="Y10" s="77"/>
      <c r="Z10" s="77"/>
      <c r="AA10" s="77"/>
      <c r="AB10" s="77"/>
      <c r="AC10" s="77"/>
      <c r="AD10" s="77"/>
      <c r="AE10" s="77"/>
      <c r="AF10" s="77"/>
      <c r="AG10" s="77"/>
      <c r="AH10" s="77"/>
      <c r="AI10" s="77"/>
      <c r="AJ10" s="77"/>
      <c r="AK10" s="77"/>
      <c r="AL10" s="77"/>
      <c r="AM10" s="77"/>
      <c r="AN10" s="77"/>
      <c r="AO10" s="77"/>
      <c r="AP10" s="77"/>
      <c r="AQ10" s="77"/>
      <c r="AR10" s="77"/>
      <c r="AS10" s="77"/>
      <c r="AT10" s="77"/>
      <c r="AU10" s="77"/>
      <c r="AV10" s="77"/>
      <c r="AW10" s="77"/>
      <c r="AX10" s="77"/>
      <c r="AY10" s="77"/>
      <c r="AZ10" s="77"/>
      <c r="BA10" s="77"/>
      <c r="BB10" s="77"/>
      <c r="BC10" s="77"/>
      <c r="BD10" s="77"/>
      <c r="BE10" s="77"/>
      <c r="BF10" s="77"/>
      <c r="BG10" s="77"/>
      <c r="BH10" s="77"/>
      <c r="BI10" s="77"/>
      <c r="BJ10" s="77"/>
    </row>
    <row r="11" spans="1:62" s="78" customFormat="1" ht="24" customHeight="1">
      <c r="A11" s="96" t="s">
        <v>509</v>
      </c>
      <c r="B11" s="97">
        <v>-2064</v>
      </c>
      <c r="C11" s="97">
        <v>-3751</v>
      </c>
      <c r="D11" s="97">
        <v>-1687</v>
      </c>
      <c r="E11" s="107">
        <v>-7943</v>
      </c>
      <c r="F11" s="219">
        <v>-4192</v>
      </c>
      <c r="G11" s="212"/>
      <c r="H11" s="53"/>
      <c r="I11" s="80"/>
      <c r="J11" s="81"/>
      <c r="K11" s="81"/>
      <c r="L11" s="81"/>
      <c r="M11" s="61"/>
      <c r="N11" s="75"/>
      <c r="O11" s="76"/>
      <c r="P11" s="77"/>
      <c r="Q11" s="77"/>
      <c r="R11" s="77"/>
      <c r="S11" s="77"/>
      <c r="T11" s="77"/>
      <c r="U11" s="77"/>
      <c r="V11" s="77"/>
      <c r="W11" s="77"/>
      <c r="X11" s="77"/>
      <c r="Y11" s="77"/>
      <c r="Z11" s="77"/>
      <c r="AA11" s="77"/>
      <c r="AB11" s="77"/>
      <c r="AC11" s="77"/>
      <c r="AD11" s="77"/>
      <c r="AE11" s="77"/>
      <c r="AF11" s="77"/>
      <c r="AG11" s="77"/>
      <c r="AH11" s="77"/>
      <c r="AI11" s="77"/>
      <c r="AJ11" s="77"/>
      <c r="AK11" s="77"/>
      <c r="AL11" s="77"/>
      <c r="AM11" s="77"/>
      <c r="AN11" s="77"/>
      <c r="AO11" s="77"/>
      <c r="AP11" s="77"/>
      <c r="AQ11" s="77"/>
      <c r="AR11" s="77"/>
      <c r="AS11" s="77"/>
      <c r="AT11" s="77"/>
      <c r="AU11" s="77"/>
      <c r="AV11" s="77"/>
      <c r="AW11" s="77"/>
      <c r="AX11" s="77"/>
      <c r="AY11" s="77"/>
      <c r="AZ11" s="77"/>
      <c r="BA11" s="77"/>
      <c r="BB11" s="77"/>
      <c r="BC11" s="77"/>
      <c r="BD11" s="77"/>
      <c r="BE11" s="77"/>
      <c r="BF11" s="77"/>
      <c r="BG11" s="77"/>
      <c r="BH11" s="77"/>
      <c r="BI11" s="77"/>
      <c r="BJ11" s="77"/>
    </row>
    <row r="12" spans="1:62" s="78" customFormat="1" ht="24" customHeight="1">
      <c r="A12" s="96" t="s">
        <v>511</v>
      </c>
      <c r="B12" s="154">
        <v>-1908.2999999998719</v>
      </c>
      <c r="C12" s="154">
        <v>-1379.3999999999651</v>
      </c>
      <c r="D12" s="97">
        <v>528.89999999990687</v>
      </c>
      <c r="E12" s="153">
        <v>-11759</v>
      </c>
      <c r="F12" s="219">
        <v>-10379.600000000035</v>
      </c>
      <c r="G12" s="212"/>
      <c r="H12" s="53"/>
      <c r="I12" s="80"/>
      <c r="J12" s="81"/>
      <c r="K12" s="81"/>
      <c r="L12" s="81"/>
      <c r="M12" s="61"/>
      <c r="N12" s="75"/>
      <c r="O12" s="76"/>
      <c r="P12" s="77"/>
      <c r="Q12" s="77"/>
      <c r="R12" s="77"/>
      <c r="S12" s="77"/>
      <c r="T12" s="77"/>
      <c r="U12" s="77"/>
      <c r="V12" s="77"/>
      <c r="W12" s="77"/>
      <c r="X12" s="77"/>
      <c r="Y12" s="77"/>
      <c r="Z12" s="77"/>
      <c r="AA12" s="77"/>
      <c r="AB12" s="77"/>
      <c r="AC12" s="77"/>
      <c r="AD12" s="77"/>
      <c r="AE12" s="77"/>
      <c r="AF12" s="77"/>
      <c r="AG12" s="77"/>
      <c r="AH12" s="77"/>
      <c r="AI12" s="77"/>
      <c r="AJ12" s="77"/>
      <c r="AK12" s="77"/>
      <c r="AL12" s="77"/>
      <c r="AM12" s="77"/>
      <c r="AN12" s="77"/>
      <c r="AO12" s="77"/>
      <c r="AP12" s="77"/>
      <c r="AQ12" s="77"/>
      <c r="AR12" s="77"/>
      <c r="AS12" s="77"/>
      <c r="AT12" s="77"/>
      <c r="AU12" s="77"/>
      <c r="AV12" s="77"/>
      <c r="AW12" s="77"/>
      <c r="AX12" s="77"/>
      <c r="AY12" s="77"/>
      <c r="AZ12" s="77"/>
      <c r="BA12" s="77"/>
      <c r="BB12" s="77"/>
      <c r="BC12" s="77"/>
      <c r="BD12" s="77"/>
      <c r="BE12" s="77"/>
      <c r="BF12" s="77"/>
      <c r="BG12" s="77"/>
      <c r="BH12" s="77"/>
      <c r="BI12" s="77"/>
      <c r="BJ12" s="77"/>
    </row>
    <row r="13" spans="1:62" s="78" customFormat="1" ht="24" customHeight="1">
      <c r="A13" s="96" t="s">
        <v>495</v>
      </c>
      <c r="B13" s="97">
        <v>-10931.000000000058</v>
      </c>
      <c r="C13" s="97">
        <v>14587</v>
      </c>
      <c r="D13" s="97">
        <v>25518.000000000058</v>
      </c>
      <c r="E13" s="153">
        <v>-4863</v>
      </c>
      <c r="F13" s="219">
        <v>-19450</v>
      </c>
      <c r="G13" s="212"/>
      <c r="H13" s="53"/>
      <c r="I13" s="80"/>
      <c r="J13" s="81"/>
      <c r="K13" s="81"/>
      <c r="L13" s="81"/>
      <c r="M13" s="61"/>
      <c r="N13" s="75"/>
      <c r="O13" s="76"/>
      <c r="P13" s="77"/>
      <c r="Q13" s="77"/>
      <c r="R13" s="77"/>
      <c r="S13" s="77"/>
      <c r="T13" s="77"/>
      <c r="U13" s="77"/>
      <c r="V13" s="77"/>
      <c r="W13" s="77"/>
      <c r="X13" s="77"/>
      <c r="Y13" s="77"/>
      <c r="Z13" s="77"/>
      <c r="AA13" s="77"/>
      <c r="AB13" s="77"/>
      <c r="AC13" s="77"/>
      <c r="AD13" s="77"/>
      <c r="AE13" s="77"/>
      <c r="AF13" s="77"/>
      <c r="AG13" s="77"/>
      <c r="AH13" s="77"/>
      <c r="AI13" s="77"/>
      <c r="AJ13" s="77"/>
      <c r="AK13" s="77"/>
      <c r="AL13" s="77"/>
      <c r="AM13" s="77"/>
      <c r="AN13" s="77"/>
      <c r="AO13" s="77"/>
      <c r="AP13" s="77"/>
      <c r="AQ13" s="77"/>
      <c r="AR13" s="77"/>
      <c r="AS13" s="77"/>
      <c r="AT13" s="77"/>
      <c r="AU13" s="77"/>
      <c r="AV13" s="77"/>
      <c r="AW13" s="77"/>
      <c r="AX13" s="77"/>
      <c r="AY13" s="77"/>
      <c r="AZ13" s="77"/>
      <c r="BA13" s="77"/>
      <c r="BB13" s="77"/>
      <c r="BC13" s="77"/>
      <c r="BD13" s="77"/>
      <c r="BE13" s="77"/>
      <c r="BF13" s="77"/>
      <c r="BG13" s="77"/>
      <c r="BH13" s="77"/>
      <c r="BI13" s="77"/>
      <c r="BJ13" s="77"/>
    </row>
    <row r="14" spans="1:62" s="78" customFormat="1" ht="24" customHeight="1">
      <c r="A14" s="96" t="s">
        <v>526</v>
      </c>
      <c r="B14" s="97">
        <v>-70743.650999999838</v>
      </c>
      <c r="C14" s="97">
        <v>-138993.04294000007</v>
      </c>
      <c r="D14" s="97">
        <v>-68249.391940000234</v>
      </c>
      <c r="E14" s="153">
        <v>-129163.02560000028</v>
      </c>
      <c r="F14" s="219">
        <v>9830.0173399997875</v>
      </c>
      <c r="G14" s="212"/>
      <c r="H14" s="53"/>
      <c r="I14" s="80"/>
      <c r="J14" s="81"/>
      <c r="K14" s="81"/>
      <c r="L14" s="81"/>
      <c r="M14" s="61"/>
      <c r="N14" s="75"/>
      <c r="O14" s="76"/>
      <c r="P14" s="77"/>
      <c r="Q14" s="77"/>
      <c r="R14" s="77"/>
      <c r="S14" s="77"/>
      <c r="T14" s="77"/>
      <c r="U14" s="77"/>
      <c r="V14" s="77"/>
      <c r="W14" s="77"/>
      <c r="X14" s="77"/>
      <c r="Y14" s="77"/>
      <c r="Z14" s="77"/>
      <c r="AA14" s="77"/>
      <c r="AB14" s="77"/>
      <c r="AC14" s="77"/>
      <c r="AD14" s="77"/>
      <c r="AE14" s="77"/>
      <c r="AF14" s="77"/>
      <c r="AG14" s="77"/>
      <c r="AH14" s="77"/>
      <c r="AI14" s="77"/>
      <c r="AJ14" s="77"/>
      <c r="AK14" s="77"/>
      <c r="AL14" s="77"/>
      <c r="AM14" s="77"/>
      <c r="AN14" s="77"/>
      <c r="AO14" s="77"/>
      <c r="AP14" s="77"/>
      <c r="AQ14" s="77"/>
      <c r="AR14" s="77"/>
      <c r="AS14" s="77"/>
      <c r="AT14" s="77"/>
      <c r="AU14" s="77"/>
      <c r="AV14" s="77"/>
      <c r="AW14" s="77"/>
      <c r="AX14" s="77"/>
      <c r="AY14" s="77"/>
      <c r="AZ14" s="77"/>
      <c r="BA14" s="77"/>
      <c r="BB14" s="77"/>
      <c r="BC14" s="77"/>
      <c r="BD14" s="77"/>
      <c r="BE14" s="77"/>
      <c r="BF14" s="77"/>
      <c r="BG14" s="77"/>
      <c r="BH14" s="77"/>
      <c r="BI14" s="77"/>
      <c r="BJ14" s="77"/>
    </row>
    <row r="15" spans="1:62" s="78" customFormat="1" ht="24" customHeight="1">
      <c r="A15" s="96" t="s">
        <v>488</v>
      </c>
      <c r="B15" s="154">
        <v>539</v>
      </c>
      <c r="C15" s="154">
        <v>248</v>
      </c>
      <c r="D15" s="97">
        <v>-291</v>
      </c>
      <c r="E15" s="153">
        <v>174</v>
      </c>
      <c r="F15" s="219">
        <v>-74</v>
      </c>
      <c r="G15" s="212"/>
      <c r="H15" s="53"/>
      <c r="I15" s="80"/>
      <c r="J15" s="81"/>
      <c r="K15" s="81"/>
      <c r="L15" s="81"/>
      <c r="M15" s="61"/>
      <c r="N15" s="75"/>
      <c r="O15" s="76"/>
      <c r="P15" s="77"/>
      <c r="Q15" s="77"/>
      <c r="R15" s="77"/>
      <c r="S15" s="77"/>
      <c r="T15" s="77"/>
      <c r="U15" s="77"/>
      <c r="V15" s="77"/>
      <c r="W15" s="77"/>
      <c r="X15" s="77"/>
      <c r="Y15" s="77"/>
      <c r="Z15" s="77"/>
      <c r="AA15" s="77"/>
      <c r="AB15" s="77"/>
      <c r="AC15" s="77"/>
      <c r="AD15" s="77"/>
      <c r="AE15" s="77"/>
      <c r="AF15" s="77"/>
      <c r="AG15" s="77"/>
      <c r="AH15" s="77"/>
      <c r="AI15" s="77"/>
      <c r="AJ15" s="77"/>
      <c r="AK15" s="77"/>
      <c r="AL15" s="77"/>
      <c r="AM15" s="77"/>
      <c r="AN15" s="77"/>
      <c r="AO15" s="77"/>
      <c r="AP15" s="77"/>
      <c r="AQ15" s="77"/>
      <c r="AR15" s="77"/>
      <c r="AS15" s="77"/>
      <c r="AT15" s="77"/>
      <c r="AU15" s="77"/>
      <c r="AV15" s="77"/>
      <c r="AW15" s="77"/>
      <c r="AX15" s="77"/>
      <c r="AY15" s="77"/>
      <c r="AZ15" s="77"/>
      <c r="BA15" s="77"/>
      <c r="BB15" s="77"/>
      <c r="BC15" s="77"/>
      <c r="BD15" s="77"/>
      <c r="BE15" s="77"/>
      <c r="BF15" s="77"/>
      <c r="BG15" s="77"/>
      <c r="BH15" s="77"/>
      <c r="BI15" s="77"/>
      <c r="BJ15" s="77"/>
    </row>
    <row r="16" spans="1:62" s="78" customFormat="1" ht="24" customHeight="1">
      <c r="A16" s="96" t="s">
        <v>515</v>
      </c>
      <c r="B16" s="97">
        <v>-112390.89300000016</v>
      </c>
      <c r="C16" s="97">
        <v>-134854.30000000005</v>
      </c>
      <c r="D16" s="97">
        <v>-22463.40699999989</v>
      </c>
      <c r="E16" s="155">
        <v>-73660.670000000158</v>
      </c>
      <c r="F16" s="219">
        <v>61193.629999999888</v>
      </c>
      <c r="G16" s="212"/>
      <c r="H16" s="53"/>
      <c r="I16" s="80"/>
      <c r="J16" s="81"/>
      <c r="K16" s="81"/>
      <c r="L16" s="81"/>
      <c r="M16" s="58"/>
      <c r="N16" s="75"/>
      <c r="O16" s="76"/>
      <c r="P16" s="77"/>
      <c r="Q16" s="77"/>
      <c r="R16" s="77"/>
      <c r="S16" s="77"/>
      <c r="T16" s="77"/>
      <c r="U16" s="77"/>
      <c r="V16" s="77"/>
      <c r="W16" s="77"/>
      <c r="X16" s="77"/>
      <c r="Y16" s="77"/>
      <c r="Z16" s="77"/>
      <c r="AA16" s="77"/>
      <c r="AB16" s="77"/>
      <c r="AC16" s="77"/>
      <c r="AD16" s="77"/>
      <c r="AE16" s="77"/>
      <c r="AF16" s="77"/>
      <c r="AG16" s="77"/>
      <c r="AH16" s="77"/>
      <c r="AI16" s="77"/>
      <c r="AJ16" s="77"/>
      <c r="AK16" s="77"/>
      <c r="AL16" s="77"/>
      <c r="AM16" s="77"/>
      <c r="AN16" s="77"/>
      <c r="AO16" s="77"/>
      <c r="AP16" s="77"/>
      <c r="AQ16" s="77"/>
      <c r="AR16" s="77"/>
      <c r="AS16" s="77"/>
      <c r="AT16" s="77"/>
      <c r="AU16" s="77"/>
      <c r="AV16" s="77"/>
      <c r="AW16" s="77"/>
      <c r="AX16" s="77"/>
      <c r="AY16" s="77"/>
      <c r="AZ16" s="77"/>
      <c r="BA16" s="77"/>
      <c r="BB16" s="77"/>
      <c r="BC16" s="77"/>
      <c r="BD16" s="77"/>
      <c r="BE16" s="77"/>
      <c r="BF16" s="77"/>
      <c r="BG16" s="77"/>
      <c r="BH16" s="77"/>
      <c r="BI16" s="77"/>
      <c r="BJ16" s="77"/>
    </row>
    <row r="17" spans="1:62" s="78" customFormat="1" ht="24" customHeight="1">
      <c r="A17" s="96" t="s">
        <v>653</v>
      </c>
      <c r="B17" s="97">
        <v>2229.8059999998659</v>
      </c>
      <c r="C17" s="97">
        <v>179308.78399999999</v>
      </c>
      <c r="D17" s="97">
        <v>177078.97800000012</v>
      </c>
      <c r="E17" s="106">
        <v>37407.12799999956</v>
      </c>
      <c r="F17" s="219">
        <v>-141901.65600000042</v>
      </c>
      <c r="G17" s="212"/>
      <c r="H17" s="53"/>
      <c r="I17" s="80"/>
      <c r="J17" s="81"/>
      <c r="K17" s="81"/>
      <c r="L17" s="81"/>
      <c r="M17" s="58"/>
      <c r="N17" s="75"/>
      <c r="O17" s="76"/>
      <c r="P17" s="77"/>
      <c r="Q17" s="77"/>
      <c r="R17" s="77"/>
      <c r="S17" s="77"/>
      <c r="T17" s="77"/>
      <c r="U17" s="77"/>
      <c r="V17" s="77"/>
      <c r="W17" s="77"/>
      <c r="X17" s="77"/>
      <c r="Y17" s="77"/>
      <c r="Z17" s="77"/>
      <c r="AA17" s="77"/>
      <c r="AB17" s="77"/>
      <c r="AC17" s="77"/>
      <c r="AD17" s="77"/>
      <c r="AE17" s="77"/>
      <c r="AF17" s="77"/>
      <c r="AG17" s="77"/>
      <c r="AH17" s="77"/>
      <c r="AI17" s="77"/>
      <c r="AJ17" s="77"/>
      <c r="AK17" s="77"/>
      <c r="AL17" s="77"/>
      <c r="AM17" s="77"/>
      <c r="AN17" s="77"/>
      <c r="AO17" s="77"/>
      <c r="AP17" s="77"/>
      <c r="AQ17" s="77"/>
      <c r="AR17" s="77"/>
      <c r="AS17" s="77"/>
      <c r="AT17" s="77"/>
      <c r="AU17" s="77"/>
      <c r="AV17" s="77"/>
      <c r="AW17" s="77"/>
      <c r="AX17" s="77"/>
      <c r="AY17" s="77"/>
      <c r="AZ17" s="77"/>
      <c r="BA17" s="77"/>
      <c r="BB17" s="77"/>
      <c r="BC17" s="77"/>
      <c r="BD17" s="77"/>
      <c r="BE17" s="77"/>
      <c r="BF17" s="77"/>
      <c r="BG17" s="77"/>
      <c r="BH17" s="77"/>
      <c r="BI17" s="77"/>
      <c r="BJ17" s="77"/>
    </row>
    <row r="18" spans="1:62" s="78" customFormat="1" ht="24" customHeight="1">
      <c r="A18" s="96" t="s">
        <v>654</v>
      </c>
      <c r="B18" s="154">
        <v>-933368.20000000019</v>
      </c>
      <c r="C18" s="154">
        <v>-1170288.1000000001</v>
      </c>
      <c r="D18" s="97">
        <v>-236919.89999999991</v>
      </c>
      <c r="E18" s="153">
        <v>-34983.700000000186</v>
      </c>
      <c r="F18" s="219">
        <v>1135304.3999999999</v>
      </c>
      <c r="G18" s="212"/>
      <c r="H18" s="53"/>
      <c r="I18" s="80"/>
      <c r="J18" s="81"/>
      <c r="K18" s="81"/>
      <c r="L18" s="81"/>
      <c r="M18" s="61"/>
      <c r="N18" s="75"/>
      <c r="O18" s="76"/>
      <c r="P18" s="77"/>
      <c r="Q18" s="77"/>
      <c r="R18" s="77"/>
      <c r="S18" s="77"/>
      <c r="T18" s="77"/>
      <c r="U18" s="77"/>
      <c r="V18" s="77"/>
      <c r="W18" s="77"/>
      <c r="X18" s="77"/>
      <c r="Y18" s="77"/>
      <c r="Z18" s="77"/>
      <c r="AA18" s="77"/>
      <c r="AB18" s="77"/>
      <c r="AC18" s="77"/>
      <c r="AD18" s="77"/>
      <c r="AE18" s="77"/>
      <c r="AF18" s="77"/>
      <c r="AG18" s="77"/>
      <c r="AH18" s="77"/>
      <c r="AI18" s="77"/>
      <c r="AJ18" s="77"/>
      <c r="AK18" s="77"/>
      <c r="AL18" s="77"/>
      <c r="AM18" s="77"/>
      <c r="AN18" s="77"/>
      <c r="AO18" s="77"/>
      <c r="AP18" s="77"/>
      <c r="AQ18" s="77"/>
      <c r="AR18" s="77"/>
      <c r="AS18" s="77"/>
      <c r="AT18" s="77"/>
      <c r="AU18" s="77"/>
      <c r="AV18" s="77"/>
      <c r="AW18" s="77"/>
      <c r="AX18" s="77"/>
      <c r="AY18" s="77"/>
      <c r="AZ18" s="77"/>
      <c r="BA18" s="77"/>
      <c r="BB18" s="77"/>
      <c r="BC18" s="77"/>
      <c r="BD18" s="77"/>
      <c r="BE18" s="77"/>
      <c r="BF18" s="77"/>
      <c r="BG18" s="77"/>
      <c r="BH18" s="77"/>
      <c r="BI18" s="77"/>
      <c r="BJ18" s="77"/>
    </row>
    <row r="19" spans="1:62" s="78" customFormat="1" ht="24" customHeight="1">
      <c r="A19" s="96" t="s">
        <v>602</v>
      </c>
      <c r="B19" s="97">
        <v>-37833.799999999814</v>
      </c>
      <c r="C19" s="97">
        <v>-22674.29019999993</v>
      </c>
      <c r="D19" s="97">
        <v>15159.509799999883</v>
      </c>
      <c r="E19" s="107">
        <v>-29082.600000000093</v>
      </c>
      <c r="F19" s="219">
        <v>-6408.3098000001628</v>
      </c>
      <c r="G19" s="212"/>
      <c r="H19" s="53"/>
      <c r="I19" s="80"/>
      <c r="J19" s="81"/>
      <c r="K19" s="81"/>
      <c r="L19" s="81"/>
      <c r="M19" s="61"/>
      <c r="N19" s="75"/>
      <c r="O19" s="76"/>
      <c r="P19" s="77"/>
      <c r="Q19" s="77"/>
      <c r="R19" s="77"/>
      <c r="S19" s="77"/>
      <c r="T19" s="77"/>
      <c r="U19" s="77"/>
      <c r="V19" s="77"/>
      <c r="W19" s="77"/>
      <c r="X19" s="77"/>
      <c r="Y19" s="77"/>
      <c r="Z19" s="77"/>
      <c r="AA19" s="77"/>
      <c r="AB19" s="77"/>
      <c r="AC19" s="77"/>
      <c r="AD19" s="77"/>
      <c r="AE19" s="77"/>
      <c r="AF19" s="77"/>
      <c r="AG19" s="77"/>
      <c r="AH19" s="77"/>
      <c r="AI19" s="77"/>
      <c r="AJ19" s="77"/>
      <c r="AK19" s="77"/>
      <c r="AL19" s="77"/>
      <c r="AM19" s="77"/>
      <c r="AN19" s="77"/>
      <c r="AO19" s="77"/>
      <c r="AP19" s="77"/>
      <c r="AQ19" s="77"/>
      <c r="AR19" s="77"/>
      <c r="AS19" s="77"/>
      <c r="AT19" s="77"/>
      <c r="AU19" s="77"/>
      <c r="AV19" s="77"/>
      <c r="AW19" s="77"/>
      <c r="AX19" s="77"/>
      <c r="AY19" s="77"/>
      <c r="AZ19" s="77"/>
      <c r="BA19" s="77"/>
      <c r="BB19" s="77"/>
      <c r="BC19" s="77"/>
      <c r="BD19" s="77"/>
      <c r="BE19" s="77"/>
      <c r="BF19" s="77"/>
      <c r="BG19" s="77"/>
      <c r="BH19" s="77"/>
      <c r="BI19" s="77"/>
      <c r="BJ19" s="77"/>
    </row>
    <row r="20" spans="1:62" s="78" customFormat="1" ht="24" customHeight="1">
      <c r="A20" s="96" t="s">
        <v>655</v>
      </c>
      <c r="B20" s="97">
        <v>-7432.5999999999767</v>
      </c>
      <c r="C20" s="97">
        <v>-10135.840000000026</v>
      </c>
      <c r="D20" s="97">
        <v>-2703.2400000000489</v>
      </c>
      <c r="E20" s="107">
        <v>12300</v>
      </c>
      <c r="F20" s="219">
        <v>22435.840000000026</v>
      </c>
      <c r="G20" s="212"/>
      <c r="H20" s="53"/>
      <c r="I20" s="80"/>
      <c r="J20" s="81"/>
      <c r="K20" s="81"/>
      <c r="L20" s="81"/>
      <c r="M20" s="61"/>
      <c r="N20" s="75"/>
      <c r="O20" s="76"/>
      <c r="P20" s="77"/>
      <c r="Q20" s="77"/>
      <c r="R20" s="77"/>
      <c r="S20" s="77"/>
      <c r="T20" s="77"/>
      <c r="U20" s="77"/>
      <c r="V20" s="77"/>
      <c r="W20" s="77"/>
      <c r="X20" s="77"/>
      <c r="Y20" s="77"/>
      <c r="Z20" s="77"/>
      <c r="AA20" s="77"/>
      <c r="AB20" s="77"/>
      <c r="AC20" s="77"/>
      <c r="AD20" s="77"/>
      <c r="AE20" s="77"/>
      <c r="AF20" s="77"/>
      <c r="AG20" s="77"/>
      <c r="AH20" s="77"/>
      <c r="AI20" s="77"/>
      <c r="AJ20" s="77"/>
      <c r="AK20" s="77"/>
      <c r="AL20" s="77"/>
      <c r="AM20" s="77"/>
      <c r="AN20" s="77"/>
      <c r="AO20" s="77"/>
      <c r="AP20" s="77"/>
      <c r="AQ20" s="77"/>
      <c r="AR20" s="77"/>
      <c r="AS20" s="77"/>
      <c r="AT20" s="77"/>
      <c r="AU20" s="77"/>
      <c r="AV20" s="77"/>
      <c r="AW20" s="77"/>
      <c r="AX20" s="77"/>
      <c r="AY20" s="77"/>
      <c r="AZ20" s="77"/>
      <c r="BA20" s="77"/>
      <c r="BB20" s="77"/>
      <c r="BC20" s="77"/>
      <c r="BD20" s="77"/>
      <c r="BE20" s="77"/>
      <c r="BF20" s="77"/>
      <c r="BG20" s="77"/>
      <c r="BH20" s="77"/>
      <c r="BI20" s="77"/>
      <c r="BJ20" s="77"/>
    </row>
    <row r="21" spans="1:62" s="78" customFormat="1" ht="24" customHeight="1">
      <c r="A21" s="96" t="s">
        <v>603</v>
      </c>
      <c r="B21" s="97">
        <v>-5877.2999999999884</v>
      </c>
      <c r="C21" s="97">
        <v>697.30000000004657</v>
      </c>
      <c r="D21" s="97">
        <v>6574.6000000000349</v>
      </c>
      <c r="E21" s="107">
        <v>-4849.2999999999884</v>
      </c>
      <c r="F21" s="219">
        <v>-5546.6000000000349</v>
      </c>
      <c r="G21" s="212"/>
      <c r="H21" s="53"/>
      <c r="I21" s="80"/>
      <c r="J21" s="81"/>
      <c r="K21" s="81"/>
      <c r="L21" s="81"/>
      <c r="M21" s="61"/>
      <c r="N21" s="75"/>
      <c r="O21" s="76"/>
      <c r="P21" s="77"/>
      <c r="Q21" s="77"/>
      <c r="R21" s="77"/>
      <c r="S21" s="77"/>
      <c r="T21" s="77"/>
      <c r="U21" s="77"/>
      <c r="V21" s="77"/>
      <c r="W21" s="77"/>
      <c r="X21" s="77"/>
      <c r="Y21" s="77"/>
      <c r="Z21" s="77"/>
      <c r="AA21" s="77"/>
      <c r="AB21" s="77"/>
      <c r="AC21" s="77"/>
      <c r="AD21" s="77"/>
      <c r="AE21" s="77"/>
      <c r="AF21" s="77"/>
      <c r="AG21" s="77"/>
      <c r="AH21" s="77"/>
      <c r="AI21" s="77"/>
      <c r="AJ21" s="77"/>
      <c r="AK21" s="77"/>
      <c r="AL21" s="77"/>
      <c r="AM21" s="77"/>
      <c r="AN21" s="77"/>
      <c r="AO21" s="77"/>
      <c r="AP21" s="77"/>
      <c r="AQ21" s="77"/>
      <c r="AR21" s="77"/>
      <c r="AS21" s="77"/>
      <c r="AT21" s="77"/>
      <c r="AU21" s="77"/>
      <c r="AV21" s="77"/>
      <c r="AW21" s="77"/>
      <c r="AX21" s="77"/>
      <c r="AY21" s="77"/>
      <c r="AZ21" s="77"/>
      <c r="BA21" s="77"/>
      <c r="BB21" s="77"/>
      <c r="BC21" s="77"/>
      <c r="BD21" s="77"/>
      <c r="BE21" s="77"/>
      <c r="BF21" s="77"/>
      <c r="BG21" s="77"/>
      <c r="BH21" s="77"/>
      <c r="BI21" s="77"/>
      <c r="BJ21" s="77"/>
    </row>
    <row r="22" spans="1:62" s="78" customFormat="1" ht="24" customHeight="1">
      <c r="A22" s="96" t="s">
        <v>513</v>
      </c>
      <c r="B22" s="97">
        <v>-30059</v>
      </c>
      <c r="C22" s="97">
        <v>23799.299999999814</v>
      </c>
      <c r="D22" s="97">
        <v>53858.299999999814</v>
      </c>
      <c r="E22" s="107">
        <v>-75784.5</v>
      </c>
      <c r="F22" s="219">
        <v>-99583.799999999814</v>
      </c>
      <c r="G22" s="212"/>
      <c r="H22" s="53"/>
      <c r="I22" s="80"/>
      <c r="J22" s="81"/>
      <c r="K22" s="81"/>
      <c r="L22" s="81"/>
      <c r="M22" s="61"/>
      <c r="N22" s="75"/>
      <c r="O22" s="76"/>
      <c r="P22" s="77"/>
      <c r="Q22" s="77"/>
      <c r="R22" s="77"/>
      <c r="S22" s="77"/>
      <c r="T22" s="77"/>
      <c r="U22" s="77"/>
      <c r="V22" s="77"/>
      <c r="W22" s="77"/>
      <c r="X22" s="77"/>
      <c r="Y22" s="77"/>
      <c r="Z22" s="77"/>
      <c r="AA22" s="77"/>
      <c r="AB22" s="77"/>
      <c r="AC22" s="77"/>
      <c r="AD22" s="77"/>
      <c r="AE22" s="77"/>
      <c r="AF22" s="77"/>
      <c r="AG22" s="77"/>
      <c r="AH22" s="77"/>
      <c r="AI22" s="77"/>
      <c r="AJ22" s="77"/>
      <c r="AK22" s="77"/>
      <c r="AL22" s="77"/>
      <c r="AM22" s="77"/>
      <c r="AN22" s="77"/>
      <c r="AO22" s="77"/>
      <c r="AP22" s="77"/>
      <c r="AQ22" s="77"/>
      <c r="AR22" s="77"/>
      <c r="AS22" s="77"/>
      <c r="AT22" s="77"/>
      <c r="AU22" s="77"/>
      <c r="AV22" s="77"/>
      <c r="AW22" s="77"/>
      <c r="AX22" s="77"/>
      <c r="AY22" s="77"/>
      <c r="AZ22" s="77"/>
      <c r="BA22" s="77"/>
      <c r="BB22" s="77"/>
      <c r="BC22" s="77"/>
      <c r="BD22" s="77"/>
      <c r="BE22" s="77"/>
      <c r="BF22" s="77"/>
      <c r="BG22" s="77"/>
      <c r="BH22" s="77"/>
      <c r="BI22" s="77"/>
      <c r="BJ22" s="77"/>
    </row>
    <row r="23" spans="1:62" s="78" customFormat="1" ht="24" customHeight="1">
      <c r="A23" s="96" t="s">
        <v>497</v>
      </c>
      <c r="B23" s="97">
        <v>-58409</v>
      </c>
      <c r="C23" s="97">
        <v>55157</v>
      </c>
      <c r="D23" s="97">
        <v>113566</v>
      </c>
      <c r="E23" s="107">
        <v>-54917</v>
      </c>
      <c r="F23" s="219">
        <v>-110074</v>
      </c>
      <c r="G23" s="212"/>
      <c r="H23" s="53"/>
      <c r="I23" s="80"/>
      <c r="J23" s="81"/>
      <c r="K23" s="81"/>
      <c r="L23" s="81"/>
      <c r="M23" s="61"/>
      <c r="N23" s="75"/>
      <c r="O23" s="76"/>
      <c r="P23" s="77"/>
      <c r="Q23" s="77"/>
      <c r="R23" s="77"/>
      <c r="S23" s="77"/>
      <c r="T23" s="77"/>
      <c r="U23" s="77"/>
      <c r="V23" s="77"/>
      <c r="W23" s="77"/>
      <c r="X23" s="77"/>
      <c r="Y23" s="77"/>
      <c r="Z23" s="77"/>
      <c r="AA23" s="77"/>
      <c r="AB23" s="77"/>
      <c r="AC23" s="77"/>
      <c r="AD23" s="77"/>
      <c r="AE23" s="77"/>
      <c r="AF23" s="77"/>
      <c r="AG23" s="77"/>
      <c r="AH23" s="77"/>
      <c r="AI23" s="77"/>
      <c r="AJ23" s="77"/>
      <c r="AK23" s="77"/>
      <c r="AL23" s="77"/>
      <c r="AM23" s="77"/>
      <c r="AN23" s="77"/>
      <c r="AO23" s="77"/>
      <c r="AP23" s="77"/>
      <c r="AQ23" s="77"/>
      <c r="AR23" s="77"/>
      <c r="AS23" s="77"/>
      <c r="AT23" s="77"/>
      <c r="AU23" s="77"/>
      <c r="AV23" s="77"/>
      <c r="AW23" s="77"/>
      <c r="AX23" s="77"/>
      <c r="AY23" s="77"/>
      <c r="AZ23" s="77"/>
      <c r="BA23" s="77"/>
      <c r="BB23" s="77"/>
      <c r="BC23" s="77"/>
      <c r="BD23" s="77"/>
      <c r="BE23" s="77"/>
      <c r="BF23" s="77"/>
      <c r="BG23" s="77"/>
      <c r="BH23" s="77"/>
      <c r="BI23" s="77"/>
      <c r="BJ23" s="77"/>
    </row>
    <row r="24" spans="1:62" s="78" customFormat="1" ht="24" customHeight="1">
      <c r="A24" s="96" t="s">
        <v>256</v>
      </c>
      <c r="B24" s="97">
        <v>29610.599999999627</v>
      </c>
      <c r="C24" s="97">
        <v>-74640.402010000311</v>
      </c>
      <c r="D24" s="97">
        <v>-104251.00200999994</v>
      </c>
      <c r="E24" s="107">
        <v>-1143.0336100002751</v>
      </c>
      <c r="F24" s="219">
        <v>73497.368400000036</v>
      </c>
      <c r="G24" s="212"/>
      <c r="H24" s="53"/>
      <c r="I24" s="80"/>
      <c r="J24" s="81"/>
      <c r="K24" s="81"/>
      <c r="L24" s="81"/>
      <c r="M24" s="61"/>
      <c r="N24" s="75"/>
      <c r="O24" s="76"/>
      <c r="P24" s="77"/>
      <c r="Q24" s="77"/>
      <c r="R24" s="77"/>
      <c r="S24" s="77"/>
      <c r="T24" s="77"/>
      <c r="U24" s="77"/>
      <c r="V24" s="77"/>
      <c r="W24" s="77"/>
      <c r="X24" s="77"/>
      <c r="Y24" s="77"/>
      <c r="Z24" s="77"/>
      <c r="AA24" s="77"/>
      <c r="AB24" s="77"/>
      <c r="AC24" s="77"/>
      <c r="AD24" s="77"/>
      <c r="AE24" s="77"/>
      <c r="AF24" s="77"/>
      <c r="AG24" s="77"/>
      <c r="AH24" s="77"/>
      <c r="AI24" s="77"/>
      <c r="AJ24" s="77"/>
      <c r="AK24" s="77"/>
      <c r="AL24" s="77"/>
      <c r="AM24" s="77"/>
      <c r="AN24" s="77"/>
      <c r="AO24" s="77"/>
      <c r="AP24" s="77"/>
      <c r="AQ24" s="77"/>
      <c r="AR24" s="77"/>
      <c r="AS24" s="77"/>
      <c r="AT24" s="77"/>
      <c r="AU24" s="77"/>
      <c r="AV24" s="77"/>
      <c r="AW24" s="77"/>
      <c r="AX24" s="77"/>
      <c r="AY24" s="77"/>
      <c r="AZ24" s="77"/>
      <c r="BA24" s="77"/>
      <c r="BB24" s="77"/>
      <c r="BC24" s="77"/>
      <c r="BD24" s="77"/>
      <c r="BE24" s="77"/>
      <c r="BF24" s="77"/>
      <c r="BG24" s="77"/>
      <c r="BH24" s="77"/>
      <c r="BI24" s="77"/>
      <c r="BJ24" s="77"/>
    </row>
    <row r="25" spans="1:62" s="78" customFormat="1" ht="24" customHeight="1">
      <c r="A25" s="96" t="s">
        <v>517</v>
      </c>
      <c r="B25" s="97">
        <v>-7594</v>
      </c>
      <c r="C25" s="97">
        <v>-5088</v>
      </c>
      <c r="D25" s="97">
        <v>2506</v>
      </c>
      <c r="E25" s="153">
        <v>-3152</v>
      </c>
      <c r="F25" s="219">
        <v>1936</v>
      </c>
      <c r="G25" s="212"/>
      <c r="H25" s="53"/>
      <c r="I25" s="80"/>
      <c r="J25" s="81"/>
      <c r="K25" s="81"/>
      <c r="L25" s="81"/>
      <c r="M25" s="61"/>
      <c r="N25" s="75"/>
      <c r="O25" s="76"/>
      <c r="P25" s="77"/>
      <c r="Q25" s="77"/>
      <c r="R25" s="77"/>
      <c r="S25" s="77"/>
      <c r="T25" s="77"/>
      <c r="U25" s="77"/>
      <c r="V25" s="77"/>
      <c r="W25" s="77"/>
      <c r="X25" s="77"/>
      <c r="Y25" s="77"/>
      <c r="Z25" s="77"/>
      <c r="AA25" s="77"/>
      <c r="AB25" s="77"/>
      <c r="AC25" s="77"/>
      <c r="AD25" s="77"/>
      <c r="AE25" s="77"/>
      <c r="AF25" s="77"/>
      <c r="AG25" s="77"/>
      <c r="AH25" s="77"/>
      <c r="AI25" s="77"/>
      <c r="AJ25" s="77"/>
      <c r="AK25" s="77"/>
      <c r="AL25" s="77"/>
      <c r="AM25" s="77"/>
      <c r="AN25" s="77"/>
      <c r="AO25" s="77"/>
      <c r="AP25" s="77"/>
      <c r="AQ25" s="77"/>
      <c r="AR25" s="77"/>
      <c r="AS25" s="77"/>
      <c r="AT25" s="77"/>
      <c r="AU25" s="77"/>
      <c r="AV25" s="77"/>
      <c r="AW25" s="77"/>
      <c r="AX25" s="77"/>
      <c r="AY25" s="77"/>
      <c r="AZ25" s="77"/>
      <c r="BA25" s="77"/>
      <c r="BB25" s="77"/>
      <c r="BC25" s="77"/>
      <c r="BD25" s="77"/>
      <c r="BE25" s="77"/>
      <c r="BF25" s="77"/>
      <c r="BG25" s="77"/>
      <c r="BH25" s="77"/>
      <c r="BI25" s="77"/>
      <c r="BJ25" s="77"/>
    </row>
    <row r="26" spans="1:62" s="78" customFormat="1" ht="24" customHeight="1">
      <c r="A26" s="96" t="s">
        <v>605</v>
      </c>
      <c r="B26" s="97">
        <v>-148029.20000000065</v>
      </c>
      <c r="C26" s="97">
        <v>-128019.07020000089</v>
      </c>
      <c r="D26" s="97">
        <v>20010.129799999762</v>
      </c>
      <c r="E26" s="107">
        <v>-120426.69000000041</v>
      </c>
      <c r="F26" s="219">
        <v>7592.3802000004798</v>
      </c>
      <c r="G26" s="212"/>
      <c r="H26" s="53"/>
      <c r="I26" s="80"/>
      <c r="J26" s="81"/>
      <c r="K26" s="81"/>
      <c r="L26" s="81"/>
      <c r="M26" s="61"/>
      <c r="N26" s="75"/>
      <c r="O26" s="76"/>
      <c r="P26" s="77"/>
      <c r="Q26" s="77"/>
      <c r="R26" s="77"/>
      <c r="S26" s="77"/>
      <c r="T26" s="77"/>
      <c r="U26" s="77"/>
      <c r="V26" s="77"/>
      <c r="W26" s="77"/>
      <c r="X26" s="77"/>
      <c r="Y26" s="77"/>
      <c r="Z26" s="77"/>
      <c r="AA26" s="77"/>
      <c r="AB26" s="77"/>
      <c r="AC26" s="77"/>
      <c r="AD26" s="77"/>
      <c r="AE26" s="77"/>
      <c r="AF26" s="77"/>
      <c r="AG26" s="77"/>
      <c r="AH26" s="77"/>
      <c r="AI26" s="77"/>
      <c r="AJ26" s="77"/>
      <c r="AK26" s="77"/>
      <c r="AL26" s="77"/>
      <c r="AM26" s="77"/>
      <c r="AN26" s="77"/>
      <c r="AO26" s="77"/>
      <c r="AP26" s="77"/>
      <c r="AQ26" s="77"/>
      <c r="AR26" s="77"/>
      <c r="AS26" s="77"/>
      <c r="AT26" s="77"/>
      <c r="AU26" s="77"/>
      <c r="AV26" s="77"/>
      <c r="AW26" s="77"/>
      <c r="AX26" s="77"/>
      <c r="AY26" s="77"/>
      <c r="AZ26" s="77"/>
      <c r="BA26" s="77"/>
      <c r="BB26" s="77"/>
      <c r="BC26" s="77"/>
      <c r="BD26" s="77"/>
      <c r="BE26" s="77"/>
      <c r="BF26" s="77"/>
      <c r="BG26" s="77"/>
      <c r="BH26" s="77"/>
      <c r="BI26" s="77"/>
      <c r="BJ26" s="77"/>
    </row>
    <row r="27" spans="1:62" s="78" customFormat="1" ht="24" customHeight="1">
      <c r="A27" s="96" t="s">
        <v>524</v>
      </c>
      <c r="B27" s="97">
        <v>24089.300000000745</v>
      </c>
      <c r="C27" s="97">
        <v>81186.544590000063</v>
      </c>
      <c r="D27" s="97">
        <v>57097.244589999318</v>
      </c>
      <c r="E27" s="106">
        <v>26191</v>
      </c>
      <c r="F27" s="219">
        <v>-54995.544590000063</v>
      </c>
      <c r="G27" s="212"/>
      <c r="H27" s="53"/>
      <c r="I27" s="80"/>
      <c r="J27" s="81"/>
      <c r="K27" s="81"/>
      <c r="L27" s="81"/>
      <c r="M27" s="58"/>
      <c r="N27" s="75"/>
      <c r="O27" s="76"/>
      <c r="P27" s="77"/>
      <c r="Q27" s="77"/>
      <c r="R27" s="77"/>
      <c r="S27" s="77"/>
      <c r="T27" s="77"/>
      <c r="U27" s="77"/>
      <c r="V27" s="77"/>
      <c r="W27" s="77"/>
      <c r="X27" s="77"/>
      <c r="Y27" s="77"/>
      <c r="Z27" s="77"/>
      <c r="AA27" s="77"/>
      <c r="AB27" s="77"/>
      <c r="AC27" s="77"/>
      <c r="AD27" s="77"/>
      <c r="AE27" s="77"/>
      <c r="AF27" s="77"/>
      <c r="AG27" s="77"/>
      <c r="AH27" s="77"/>
      <c r="AI27" s="77"/>
      <c r="AJ27" s="77"/>
      <c r="AK27" s="77"/>
      <c r="AL27" s="77"/>
      <c r="AM27" s="77"/>
      <c r="AN27" s="77"/>
      <c r="AO27" s="77"/>
      <c r="AP27" s="77"/>
      <c r="AQ27" s="77"/>
      <c r="AR27" s="77"/>
      <c r="AS27" s="77"/>
      <c r="AT27" s="77"/>
      <c r="AU27" s="77"/>
      <c r="AV27" s="77"/>
      <c r="AW27" s="77"/>
      <c r="AX27" s="77"/>
      <c r="AY27" s="77"/>
      <c r="AZ27" s="77"/>
      <c r="BA27" s="77"/>
      <c r="BB27" s="77"/>
      <c r="BC27" s="77"/>
      <c r="BD27" s="77"/>
      <c r="BE27" s="77"/>
      <c r="BF27" s="77"/>
      <c r="BG27" s="77"/>
      <c r="BH27" s="77"/>
      <c r="BI27" s="77"/>
      <c r="BJ27" s="77"/>
    </row>
    <row r="28" spans="1:62" s="78" customFormat="1" ht="24" customHeight="1">
      <c r="A28" s="96" t="s">
        <v>645</v>
      </c>
      <c r="B28" s="97">
        <v>5371.8999999999069</v>
      </c>
      <c r="C28" s="97">
        <v>-83922.499999999069</v>
      </c>
      <c r="D28" s="97">
        <v>-89294.399999998976</v>
      </c>
      <c r="E28" s="107">
        <v>5818.5999999996275</v>
      </c>
      <c r="F28" s="219">
        <v>89741.099999998696</v>
      </c>
      <c r="G28" s="212"/>
      <c r="H28" s="53"/>
      <c r="I28" s="80"/>
      <c r="J28" s="81"/>
      <c r="K28" s="81"/>
      <c r="L28" s="81"/>
      <c r="M28" s="61"/>
      <c r="N28" s="75"/>
      <c r="O28" s="76"/>
      <c r="P28" s="77"/>
      <c r="Q28" s="77"/>
      <c r="R28" s="77"/>
      <c r="S28" s="77"/>
      <c r="T28" s="77"/>
      <c r="U28" s="77"/>
      <c r="V28" s="77"/>
      <c r="W28" s="77"/>
      <c r="X28" s="77"/>
      <c r="Y28" s="77"/>
      <c r="Z28" s="77"/>
      <c r="AA28" s="77"/>
      <c r="AB28" s="77"/>
      <c r="AC28" s="77"/>
      <c r="AD28" s="77"/>
      <c r="AE28" s="77"/>
      <c r="AF28" s="77"/>
      <c r="AG28" s="77"/>
      <c r="AH28" s="77"/>
      <c r="AI28" s="77"/>
      <c r="AJ28" s="77"/>
      <c r="AK28" s="77"/>
      <c r="AL28" s="77"/>
      <c r="AM28" s="77"/>
      <c r="AN28" s="77"/>
      <c r="AO28" s="77"/>
      <c r="AP28" s="77"/>
      <c r="AQ28" s="77"/>
      <c r="AR28" s="77"/>
      <c r="AS28" s="77"/>
      <c r="AT28" s="77"/>
      <c r="AU28" s="77"/>
      <c r="AV28" s="77"/>
      <c r="AW28" s="77"/>
      <c r="AX28" s="77"/>
      <c r="AY28" s="77"/>
      <c r="AZ28" s="77"/>
      <c r="BA28" s="77"/>
      <c r="BB28" s="77"/>
      <c r="BC28" s="77"/>
      <c r="BD28" s="77"/>
      <c r="BE28" s="77"/>
      <c r="BF28" s="77"/>
      <c r="BG28" s="77"/>
      <c r="BH28" s="77"/>
      <c r="BI28" s="77"/>
      <c r="BJ28" s="77"/>
    </row>
    <row r="29" spans="1:62" s="78" customFormat="1" ht="24" customHeight="1">
      <c r="A29" s="96" t="s">
        <v>646</v>
      </c>
      <c r="B29" s="97">
        <v>-15448.523999999976</v>
      </c>
      <c r="C29" s="97">
        <v>73.184999999590218</v>
      </c>
      <c r="D29" s="97">
        <v>15521.708999999566</v>
      </c>
      <c r="E29" s="107">
        <v>-11272.680999999866</v>
      </c>
      <c r="F29" s="219">
        <v>-11345.865999999456</v>
      </c>
      <c r="G29" s="212"/>
      <c r="H29" s="53"/>
      <c r="I29" s="80"/>
      <c r="J29" s="81"/>
      <c r="K29" s="81"/>
      <c r="L29" s="81"/>
      <c r="M29" s="61"/>
      <c r="N29" s="75"/>
      <c r="O29" s="76"/>
      <c r="P29" s="77"/>
      <c r="Q29" s="77"/>
      <c r="R29" s="77"/>
      <c r="S29" s="77"/>
      <c r="T29" s="77"/>
      <c r="U29" s="77"/>
      <c r="V29" s="77"/>
      <c r="W29" s="77"/>
      <c r="X29" s="77"/>
      <c r="Y29" s="77"/>
      <c r="Z29" s="77"/>
      <c r="AA29" s="77"/>
      <c r="AB29" s="77"/>
      <c r="AC29" s="77"/>
      <c r="AD29" s="77"/>
      <c r="AE29" s="77"/>
      <c r="AF29" s="77"/>
      <c r="AG29" s="77"/>
      <c r="AH29" s="77"/>
      <c r="AI29" s="77"/>
      <c r="AJ29" s="77"/>
      <c r="AK29" s="77"/>
      <c r="AL29" s="77"/>
      <c r="AM29" s="77"/>
      <c r="AN29" s="77"/>
      <c r="AO29" s="77"/>
      <c r="AP29" s="77"/>
      <c r="AQ29" s="77"/>
      <c r="AR29" s="77"/>
      <c r="AS29" s="77"/>
      <c r="AT29" s="77"/>
      <c r="AU29" s="77"/>
      <c r="AV29" s="77"/>
      <c r="AW29" s="77"/>
      <c r="AX29" s="77"/>
      <c r="AY29" s="77"/>
      <c r="AZ29" s="77"/>
      <c r="BA29" s="77"/>
      <c r="BB29" s="77"/>
      <c r="BC29" s="77"/>
      <c r="BD29" s="77"/>
      <c r="BE29" s="77"/>
      <c r="BF29" s="77"/>
      <c r="BG29" s="77"/>
      <c r="BH29" s="77"/>
      <c r="BI29" s="77"/>
      <c r="BJ29" s="77"/>
    </row>
    <row r="30" spans="1:62" s="78" customFormat="1" ht="24" customHeight="1">
      <c r="A30" s="96" t="s">
        <v>656</v>
      </c>
      <c r="B30" s="97">
        <v>244.75899999961257</v>
      </c>
      <c r="C30" s="97">
        <v>6275.3083000006154</v>
      </c>
      <c r="D30" s="97">
        <v>6030.5493000010028</v>
      </c>
      <c r="E30" s="106">
        <v>13759.528580615297</v>
      </c>
      <c r="F30" s="219">
        <v>7484.2202806146815</v>
      </c>
      <c r="G30" s="212"/>
      <c r="H30" s="53"/>
      <c r="I30" s="80"/>
      <c r="J30" s="81"/>
      <c r="K30" s="81"/>
      <c r="L30" s="81"/>
      <c r="M30" s="58"/>
      <c r="N30" s="58"/>
      <c r="O30" s="76"/>
      <c r="P30" s="77"/>
      <c r="Q30" s="77"/>
      <c r="R30" s="77"/>
      <c r="S30" s="77"/>
      <c r="T30" s="77"/>
      <c r="U30" s="77"/>
      <c r="V30" s="77"/>
      <c r="W30" s="77"/>
      <c r="X30" s="77"/>
      <c r="Y30" s="77"/>
      <c r="Z30" s="77"/>
      <c r="AA30" s="77"/>
      <c r="AB30" s="77"/>
      <c r="AC30" s="77"/>
      <c r="AD30" s="77"/>
      <c r="AE30" s="77"/>
      <c r="AF30" s="77"/>
      <c r="AG30" s="77"/>
      <c r="AH30" s="77"/>
      <c r="AI30" s="77"/>
      <c r="AJ30" s="77"/>
      <c r="AK30" s="77"/>
      <c r="AL30" s="77"/>
      <c r="AM30" s="77"/>
      <c r="AN30" s="77"/>
      <c r="AO30" s="77"/>
      <c r="AP30" s="77"/>
      <c r="AQ30" s="77"/>
      <c r="AR30" s="77"/>
      <c r="AS30" s="77"/>
      <c r="AT30" s="77"/>
      <c r="AU30" s="77"/>
      <c r="AV30" s="77"/>
      <c r="AW30" s="77"/>
      <c r="AX30" s="77"/>
      <c r="AY30" s="77"/>
      <c r="AZ30" s="77"/>
      <c r="BA30" s="77"/>
      <c r="BB30" s="77"/>
      <c r="BC30" s="77"/>
      <c r="BD30" s="77"/>
      <c r="BE30" s="77"/>
      <c r="BF30" s="77"/>
      <c r="BG30" s="77"/>
      <c r="BH30" s="77"/>
      <c r="BI30" s="77"/>
      <c r="BJ30" s="77"/>
    </row>
    <row r="31" spans="1:62" s="78" customFormat="1" ht="24" customHeight="1">
      <c r="A31" s="175" t="s">
        <v>504</v>
      </c>
      <c r="B31" s="176">
        <v>-5448.2000000000698</v>
      </c>
      <c r="C31" s="176">
        <v>507.03813999996055</v>
      </c>
      <c r="D31" s="176">
        <v>5955.2381400000304</v>
      </c>
      <c r="E31" s="177">
        <v>-4072.3499999999767</v>
      </c>
      <c r="F31" s="220">
        <v>-4579.3881399999373</v>
      </c>
      <c r="G31" s="224"/>
      <c r="H31" s="53"/>
      <c r="I31" s="80"/>
      <c r="J31" s="81"/>
      <c r="K31" s="81"/>
      <c r="L31" s="81"/>
      <c r="M31" s="61"/>
      <c r="N31" s="75"/>
      <c r="O31" s="76"/>
      <c r="P31" s="77"/>
      <c r="Q31" s="77"/>
      <c r="R31" s="77"/>
      <c r="S31" s="77"/>
      <c r="T31" s="77"/>
      <c r="U31" s="77"/>
      <c r="V31" s="77"/>
      <c r="W31" s="77"/>
      <c r="X31" s="77"/>
      <c r="Y31" s="77"/>
      <c r="Z31" s="77"/>
      <c r="AA31" s="77"/>
      <c r="AB31" s="77"/>
      <c r="AC31" s="77"/>
      <c r="AD31" s="77"/>
      <c r="AE31" s="77"/>
      <c r="AF31" s="77"/>
      <c r="AG31" s="77"/>
      <c r="AH31" s="77"/>
      <c r="AI31" s="77"/>
      <c r="AJ31" s="77"/>
      <c r="AK31" s="77"/>
      <c r="AL31" s="77"/>
      <c r="AM31" s="77"/>
      <c r="AN31" s="77"/>
      <c r="AO31" s="77"/>
      <c r="AP31" s="77"/>
      <c r="AQ31" s="77"/>
      <c r="AR31" s="77"/>
      <c r="AS31" s="77"/>
      <c r="AT31" s="77"/>
      <c r="AU31" s="77"/>
      <c r="AV31" s="77"/>
      <c r="AW31" s="77"/>
      <c r="AX31" s="77"/>
      <c r="AY31" s="77"/>
      <c r="AZ31" s="77"/>
      <c r="BA31" s="77"/>
      <c r="BB31" s="77"/>
      <c r="BC31" s="77"/>
      <c r="BD31" s="77"/>
      <c r="BE31" s="77"/>
      <c r="BF31" s="77"/>
      <c r="BG31" s="77"/>
      <c r="BH31" s="77"/>
      <c r="BI31" s="77"/>
      <c r="BJ31" s="77"/>
    </row>
    <row r="32" spans="1:62" s="77" customFormat="1" ht="25.5" customHeight="1">
      <c r="A32" s="165" t="s">
        <v>647</v>
      </c>
      <c r="B32" s="156">
        <v>-1399870.5084900004</v>
      </c>
      <c r="C32" s="156">
        <v>-1505599.7641099999</v>
      </c>
      <c r="D32" s="156">
        <v>-105729.25561999949</v>
      </c>
      <c r="E32" s="156">
        <v>-404945.0877793862</v>
      </c>
      <c r="F32" s="221">
        <v>1100654.6763306137</v>
      </c>
      <c r="G32" s="225"/>
      <c r="H32" s="76"/>
      <c r="I32" s="74"/>
      <c r="J32" s="81"/>
      <c r="K32" s="81"/>
      <c r="L32" s="81"/>
      <c r="M32" s="61"/>
      <c r="N32" s="75"/>
      <c r="O32" s="76"/>
    </row>
    <row r="33" spans="1:15" s="77" customFormat="1" ht="12" customHeight="1" thickBot="1">
      <c r="A33" s="178"/>
      <c r="B33" s="179"/>
      <c r="C33" s="179"/>
      <c r="D33" s="179"/>
      <c r="E33" s="179"/>
      <c r="F33" s="222"/>
      <c r="G33" s="149"/>
      <c r="H33" s="76"/>
      <c r="I33" s="82"/>
      <c r="J33" s="74"/>
      <c r="K33" s="74"/>
      <c r="L33" s="74"/>
      <c r="M33" s="74"/>
      <c r="N33" s="75"/>
      <c r="O33" s="76"/>
    </row>
    <row r="34" spans="1:15" ht="15.75" thickTop="1">
      <c r="A34" s="157" t="s">
        <v>21</v>
      </c>
      <c r="B34" s="180"/>
      <c r="C34" s="180"/>
      <c r="D34" s="180"/>
      <c r="E34" s="180"/>
      <c r="F34" s="131"/>
      <c r="G34" s="44"/>
      <c r="J34" s="74"/>
      <c r="K34" s="74"/>
      <c r="L34" s="74"/>
      <c r="M34" s="74"/>
      <c r="N34" s="74"/>
    </row>
    <row r="35" spans="1:15" ht="15">
      <c r="A35" s="77"/>
      <c r="B35" s="79"/>
      <c r="C35" s="79"/>
      <c r="D35" s="79"/>
      <c r="E35" s="79"/>
      <c r="F35" s="131"/>
      <c r="G35" s="4"/>
      <c r="J35" s="46"/>
      <c r="K35" s="46"/>
      <c r="L35" s="46"/>
      <c r="M35" s="46"/>
      <c r="N35" s="46"/>
    </row>
    <row r="36" spans="1:15">
      <c r="A36" s="86"/>
      <c r="B36" s="85"/>
      <c r="C36" s="85"/>
      <c r="D36" s="85"/>
      <c r="E36" s="85"/>
      <c r="F36" s="85"/>
      <c r="G36" s="4"/>
      <c r="I36" s="46"/>
    </row>
    <row r="37" spans="1:15">
      <c r="A37" s="86"/>
      <c r="B37" s="85"/>
      <c r="C37" s="85"/>
      <c r="D37" s="85"/>
      <c r="E37" s="85"/>
      <c r="F37" s="85"/>
      <c r="G37" s="4"/>
    </row>
    <row r="38" spans="1:15">
      <c r="A38" s="86"/>
      <c r="B38" s="85"/>
      <c r="C38" s="85"/>
      <c r="D38" s="85"/>
      <c r="E38" s="85"/>
      <c r="F38" s="85"/>
    </row>
    <row r="39" spans="1:15">
      <c r="A39" s="86"/>
      <c r="B39" s="85"/>
      <c r="C39" s="85"/>
      <c r="D39" s="85"/>
      <c r="E39" s="85"/>
      <c r="F39" s="85"/>
    </row>
    <row r="40" spans="1:15">
      <c r="A40" s="86"/>
      <c r="B40" s="85"/>
      <c r="C40" s="85"/>
      <c r="D40" s="85"/>
      <c r="E40" s="85"/>
      <c r="F40" s="85"/>
    </row>
    <row r="41" spans="1:15">
      <c r="A41" s="86"/>
      <c r="B41" s="85"/>
      <c r="C41" s="85"/>
      <c r="D41" s="85"/>
      <c r="E41" s="85"/>
      <c r="F41" s="85"/>
    </row>
    <row r="42" spans="1:15">
      <c r="B42" s="85"/>
      <c r="C42" s="85"/>
      <c r="D42" s="85"/>
      <c r="E42" s="85"/>
      <c r="F42" s="85"/>
    </row>
    <row r="43" spans="1:15">
      <c r="A43" s="86"/>
      <c r="B43" s="85"/>
      <c r="C43" s="85"/>
      <c r="D43" s="85"/>
      <c r="E43" s="85"/>
      <c r="F43" s="85"/>
    </row>
    <row r="44" spans="1:15">
      <c r="B44" s="85"/>
      <c r="C44" s="85"/>
      <c r="D44" s="85"/>
      <c r="E44" s="85"/>
      <c r="F44" s="85"/>
      <c r="I44" s="46"/>
    </row>
    <row r="45" spans="1:15">
      <c r="B45" s="85"/>
      <c r="C45" s="85"/>
      <c r="D45" s="85"/>
      <c r="E45" s="85"/>
      <c r="F45" s="85"/>
      <c r="I45" s="46"/>
    </row>
    <row r="46" spans="1:15">
      <c r="B46" s="85"/>
      <c r="C46" s="85"/>
      <c r="D46" s="85"/>
      <c r="E46" s="85"/>
      <c r="F46" s="85"/>
      <c r="I46" s="46"/>
    </row>
    <row r="47" spans="1:15">
      <c r="B47" s="85"/>
      <c r="C47" s="85"/>
      <c r="D47" s="85"/>
      <c r="E47" s="85"/>
      <c r="F47" s="85"/>
    </row>
    <row r="48" spans="1:15">
      <c r="B48" s="85"/>
      <c r="C48" s="85"/>
      <c r="D48" s="85"/>
      <c r="E48" s="85"/>
      <c r="F48" s="85"/>
    </row>
    <row r="49" spans="1:6">
      <c r="A49" s="86"/>
      <c r="B49" s="85"/>
      <c r="C49" s="85"/>
      <c r="D49" s="85"/>
      <c r="E49" s="85"/>
      <c r="F49" s="85"/>
    </row>
    <row r="50" spans="1:6">
      <c r="A50" s="86"/>
      <c r="B50" s="85"/>
      <c r="C50" s="85"/>
      <c r="D50" s="85"/>
      <c r="E50" s="85"/>
      <c r="F50" s="85"/>
    </row>
    <row r="51" spans="1:6">
      <c r="A51" s="86"/>
      <c r="B51" s="85"/>
      <c r="C51" s="85"/>
      <c r="D51" s="85"/>
      <c r="E51" s="85"/>
      <c r="F51" s="85"/>
    </row>
    <row r="52" spans="1:6">
      <c r="B52" s="85"/>
      <c r="C52" s="85"/>
      <c r="D52" s="85"/>
      <c r="E52" s="85"/>
      <c r="F52" s="85"/>
    </row>
    <row r="53" spans="1:6">
      <c r="B53" s="85"/>
      <c r="C53" s="85"/>
      <c r="D53" s="85"/>
      <c r="E53" s="85"/>
      <c r="F53" s="85"/>
    </row>
    <row r="54" spans="1:6">
      <c r="B54" s="85"/>
      <c r="C54" s="85"/>
      <c r="D54" s="85"/>
      <c r="E54" s="85"/>
      <c r="F54" s="85"/>
    </row>
    <row r="55" spans="1:6">
      <c r="B55" s="85"/>
      <c r="C55" s="85"/>
      <c r="D55" s="85"/>
      <c r="E55" s="85"/>
      <c r="F55" s="85"/>
    </row>
    <row r="56" spans="1:6">
      <c r="B56" s="85"/>
      <c r="C56" s="85"/>
      <c r="D56" s="85"/>
      <c r="E56" s="85"/>
      <c r="F56" s="85"/>
    </row>
    <row r="57" spans="1:6">
      <c r="B57" s="85"/>
      <c r="C57" s="85"/>
      <c r="D57" s="85"/>
      <c r="E57" s="85"/>
      <c r="F57" s="85"/>
    </row>
    <row r="58" spans="1:6">
      <c r="B58" s="85"/>
      <c r="C58" s="85"/>
      <c r="D58" s="85"/>
      <c r="E58" s="85"/>
      <c r="F58" s="85"/>
    </row>
    <row r="59" spans="1:6">
      <c r="B59" s="85"/>
      <c r="C59" s="85"/>
      <c r="D59" s="85"/>
      <c r="E59" s="85"/>
      <c r="F59" s="85"/>
    </row>
    <row r="60" spans="1:6">
      <c r="B60" s="85"/>
      <c r="C60" s="85"/>
      <c r="D60" s="85"/>
      <c r="E60" s="85"/>
      <c r="F60" s="85"/>
    </row>
    <row r="61" spans="1:6">
      <c r="B61" s="85"/>
      <c r="C61" s="85"/>
      <c r="D61" s="85"/>
      <c r="E61" s="85"/>
      <c r="F61" s="85"/>
    </row>
    <row r="62" spans="1:6">
      <c r="A62" s="86"/>
      <c r="B62" s="85"/>
      <c r="C62" s="85"/>
      <c r="D62" s="85"/>
      <c r="E62" s="85"/>
      <c r="F62" s="85"/>
    </row>
  </sheetData>
  <mergeCells count="1">
    <mergeCell ref="A1:F1"/>
  </mergeCells>
  <phoneticPr fontId="7" type="noConversion"/>
  <pageMargins left="0.23622047244094491" right="0.23622047244094491" top="0.74803149606299213" bottom="0.74803149606299213" header="0.31496062992125984" footer="0.31496062992125984"/>
  <pageSetup paperSize="9" scale="95" orientation="portrait" r:id="rId1"/>
  <headerFooter alignWithMargins="0">
    <oddHeader>&amp;LFachgruppe für kantonale Finanzfragen (FkF)
Groupe d'études pour les finances cantonales
&amp;CKanton VD&amp;RZürich, 11.05.2015</oddHeader>
    <oddFooter>&amp;L&amp;F / &amp;A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7">
    <pageSetUpPr fitToPage="1"/>
  </sheetPr>
  <dimension ref="A1:BJ62"/>
  <sheetViews>
    <sheetView topLeftCell="A13" zoomScaleNormal="100" workbookViewId="0">
      <selection activeCell="E15" sqref="E15"/>
    </sheetView>
  </sheetViews>
  <sheetFormatPr baseColWidth="10" defaultRowHeight="12.75"/>
  <cols>
    <col min="1" max="1" width="19.7109375" style="83" customWidth="1"/>
    <col min="2" max="4" width="15.28515625" style="87" customWidth="1"/>
    <col min="5" max="5" width="15.28515625" style="93" customWidth="1"/>
    <col min="6" max="6" width="15.85546875" style="87" customWidth="1"/>
    <col min="7" max="7" width="2.140625" customWidth="1"/>
    <col min="8" max="8" width="11.42578125" style="65" customWidth="1"/>
    <col min="9" max="9" width="25.7109375" style="91" customWidth="1"/>
    <col min="10" max="10" width="14.85546875" style="71" customWidth="1"/>
    <col min="11" max="11" width="16.7109375" style="71" customWidth="1"/>
    <col min="12" max="12" width="18.7109375" style="71" customWidth="1"/>
    <col min="13" max="13" width="13.7109375" style="71" customWidth="1"/>
    <col min="14" max="14" width="13.7109375" style="71" hidden="1" customWidth="1"/>
    <col min="15" max="15" width="13.42578125" style="71" customWidth="1"/>
    <col min="16" max="62" width="11.42578125" style="52" customWidth="1"/>
  </cols>
  <sheetData>
    <row r="1" spans="1:62" s="69" customFormat="1" ht="36" customHeight="1" thickBot="1">
      <c r="A1" s="959" t="s">
        <v>14</v>
      </c>
      <c r="B1" s="960"/>
      <c r="C1" s="959"/>
      <c r="D1" s="959"/>
      <c r="E1" s="959"/>
      <c r="F1" s="959"/>
      <c r="G1" s="4"/>
      <c r="H1" s="66"/>
      <c r="I1" s="88"/>
      <c r="J1" s="67"/>
      <c r="K1" s="67"/>
      <c r="L1" s="67"/>
      <c r="M1" s="67"/>
      <c r="N1" s="67"/>
      <c r="O1" s="67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  <c r="AB1" s="68"/>
      <c r="AC1" s="68"/>
      <c r="AD1" s="68"/>
      <c r="AE1" s="68"/>
      <c r="AF1" s="68"/>
      <c r="AG1" s="68"/>
      <c r="AH1" s="68"/>
      <c r="AI1" s="68"/>
      <c r="AJ1" s="68"/>
      <c r="AK1" s="68"/>
      <c r="AL1" s="68"/>
      <c r="AM1" s="68"/>
      <c r="AN1" s="68"/>
      <c r="AO1" s="68"/>
      <c r="AP1" s="68"/>
      <c r="AQ1" s="68"/>
      <c r="AR1" s="68"/>
      <c r="AS1" s="68"/>
      <c r="AT1" s="68"/>
      <c r="AU1" s="68"/>
      <c r="AV1" s="68"/>
      <c r="AW1" s="68"/>
      <c r="AX1" s="68"/>
      <c r="AY1" s="68"/>
      <c r="AZ1" s="68"/>
      <c r="BA1" s="68"/>
      <c r="BB1" s="68"/>
      <c r="BC1" s="68"/>
      <c r="BD1" s="68"/>
      <c r="BE1" s="68"/>
      <c r="BF1" s="68"/>
      <c r="BG1" s="68"/>
      <c r="BH1" s="68"/>
      <c r="BI1" s="68"/>
      <c r="BJ1" s="68"/>
    </row>
    <row r="2" spans="1:62" ht="15" customHeight="1" thickTop="1">
      <c r="A2" s="129" t="s">
        <v>2</v>
      </c>
      <c r="B2" s="191" t="s">
        <v>254</v>
      </c>
      <c r="C2" s="191" t="s">
        <v>255</v>
      </c>
      <c r="D2" s="191" t="s">
        <v>648</v>
      </c>
      <c r="E2" s="191" t="s">
        <v>254</v>
      </c>
      <c r="F2" s="70" t="s">
        <v>648</v>
      </c>
      <c r="G2" s="144"/>
      <c r="I2" s="73"/>
      <c r="J2" s="42"/>
      <c r="K2" s="42"/>
      <c r="L2" s="42"/>
      <c r="M2" s="42"/>
      <c r="N2" s="42"/>
    </row>
    <row r="3" spans="1:62" ht="15">
      <c r="A3" s="72" t="s">
        <v>1</v>
      </c>
      <c r="B3" s="192" t="s">
        <v>254</v>
      </c>
      <c r="C3" s="192" t="s">
        <v>487</v>
      </c>
      <c r="D3" s="193" t="s">
        <v>649</v>
      </c>
      <c r="E3" s="192" t="s">
        <v>254</v>
      </c>
      <c r="F3" s="216" t="s">
        <v>650</v>
      </c>
      <c r="G3" s="226"/>
      <c r="I3" s="73"/>
      <c r="J3" s="42"/>
      <c r="K3" s="42"/>
      <c r="L3" s="42"/>
      <c r="M3" s="42"/>
      <c r="N3" s="42"/>
    </row>
    <row r="4" spans="1:62">
      <c r="A4" s="133">
        <v>0</v>
      </c>
      <c r="B4" s="194">
        <v>2014</v>
      </c>
      <c r="C4" s="194">
        <v>2014</v>
      </c>
      <c r="D4" s="195">
        <v>0</v>
      </c>
      <c r="E4" s="194">
        <v>2015</v>
      </c>
      <c r="F4" s="134">
        <v>0</v>
      </c>
      <c r="G4" s="148"/>
      <c r="I4" s="73"/>
      <c r="J4" s="42"/>
      <c r="K4" s="42"/>
      <c r="L4" s="42"/>
      <c r="M4" s="42"/>
      <c r="N4" s="42"/>
    </row>
    <row r="5" spans="1:62" s="78" customFormat="1" ht="28.5" customHeight="1">
      <c r="A5" s="132" t="s">
        <v>16</v>
      </c>
      <c r="B5" s="202">
        <v>0</v>
      </c>
      <c r="C5" s="203">
        <v>0</v>
      </c>
      <c r="D5" s="198">
        <v>0</v>
      </c>
      <c r="E5" s="204" t="s">
        <v>502</v>
      </c>
      <c r="F5" s="217">
        <v>0</v>
      </c>
      <c r="G5" s="227"/>
      <c r="H5" s="53"/>
      <c r="I5" s="79"/>
      <c r="J5" s="42"/>
      <c r="K5" s="74"/>
      <c r="L5" s="74"/>
      <c r="M5" s="74"/>
      <c r="N5" s="75"/>
      <c r="O5" s="76"/>
      <c r="P5" s="77"/>
      <c r="Q5" s="77"/>
      <c r="R5" s="77"/>
      <c r="S5" s="77"/>
      <c r="T5" s="77"/>
      <c r="U5" s="77"/>
      <c r="V5" s="77"/>
      <c r="W5" s="77"/>
      <c r="X5" s="77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</row>
    <row r="6" spans="1:62" s="78" customFormat="1" ht="24" customHeight="1">
      <c r="A6" s="190" t="s">
        <v>261</v>
      </c>
      <c r="B6" s="151">
        <v>-137497.24899999826</v>
      </c>
      <c r="C6" s="151">
        <v>82646.259860000107</v>
      </c>
      <c r="D6" s="152">
        <v>220143.50885999837</v>
      </c>
      <c r="E6" s="200">
        <v>-553024.77964999748</v>
      </c>
      <c r="F6" s="228">
        <v>-635671.03950999759</v>
      </c>
      <c r="G6" s="223"/>
      <c r="H6" s="53"/>
      <c r="I6" s="79"/>
      <c r="J6" s="81"/>
      <c r="K6" s="81"/>
      <c r="L6" s="81"/>
      <c r="M6" s="61"/>
      <c r="N6" s="75"/>
      <c r="O6" s="76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  <c r="AD6" s="77"/>
      <c r="AE6" s="77"/>
      <c r="AF6" s="77"/>
      <c r="AG6" s="77"/>
      <c r="AH6" s="77"/>
      <c r="AI6" s="77"/>
      <c r="AJ6" s="77"/>
      <c r="AK6" s="77"/>
      <c r="AL6" s="77"/>
      <c r="AM6" s="77"/>
      <c r="AN6" s="77"/>
      <c r="AO6" s="77"/>
      <c r="AP6" s="77"/>
      <c r="AQ6" s="77"/>
      <c r="AR6" s="77"/>
      <c r="AS6" s="77"/>
      <c r="AT6" s="77"/>
      <c r="AU6" s="77"/>
      <c r="AV6" s="77"/>
      <c r="AW6" s="77"/>
      <c r="AX6" s="77"/>
      <c r="AY6" s="77"/>
      <c r="AZ6" s="77"/>
      <c r="BA6" s="77"/>
      <c r="BB6" s="77"/>
      <c r="BC6" s="77"/>
      <c r="BD6" s="77"/>
      <c r="BE6" s="77"/>
      <c r="BF6" s="77"/>
      <c r="BG6" s="77"/>
      <c r="BH6" s="77"/>
      <c r="BI6" s="77"/>
      <c r="BJ6" s="77"/>
    </row>
    <row r="7" spans="1:62" s="78" customFormat="1" ht="24" customHeight="1">
      <c r="A7" s="201" t="s">
        <v>529</v>
      </c>
      <c r="B7" s="97">
        <v>57439.899999999674</v>
      </c>
      <c r="C7" s="97">
        <v>156460.60000000108</v>
      </c>
      <c r="D7" s="97">
        <v>99020.700000001409</v>
      </c>
      <c r="E7" s="205">
        <v>7004.6999999989057</v>
      </c>
      <c r="F7" s="229">
        <v>-149455.90000000218</v>
      </c>
      <c r="G7" s="212"/>
      <c r="H7" s="53"/>
      <c r="I7" s="79"/>
      <c r="J7" s="81"/>
      <c r="K7" s="81"/>
      <c r="L7" s="81"/>
      <c r="M7" s="58"/>
      <c r="N7" s="75"/>
      <c r="O7" s="76"/>
      <c r="P7" s="77"/>
      <c r="Q7" s="77"/>
      <c r="R7" s="77"/>
      <c r="S7" s="77"/>
      <c r="T7" s="77"/>
      <c r="U7" s="77"/>
      <c r="V7" s="77"/>
      <c r="W7" s="77"/>
      <c r="X7" s="77"/>
      <c r="Y7" s="77"/>
      <c r="Z7" s="77"/>
      <c r="AA7" s="77"/>
      <c r="AB7" s="77"/>
      <c r="AC7" s="77"/>
      <c r="AD7" s="77"/>
      <c r="AE7" s="77"/>
      <c r="AF7" s="77"/>
      <c r="AG7" s="77"/>
      <c r="AH7" s="77"/>
      <c r="AI7" s="77"/>
      <c r="AJ7" s="77"/>
      <c r="AK7" s="77"/>
      <c r="AL7" s="77"/>
      <c r="AM7" s="77"/>
      <c r="AN7" s="77"/>
      <c r="AO7" s="77"/>
      <c r="AP7" s="77"/>
      <c r="AQ7" s="77"/>
      <c r="AR7" s="77"/>
      <c r="AS7" s="77"/>
      <c r="AT7" s="77"/>
      <c r="AU7" s="77"/>
      <c r="AV7" s="77"/>
      <c r="AW7" s="77"/>
      <c r="AX7" s="77"/>
      <c r="AY7" s="77"/>
      <c r="AZ7" s="77"/>
      <c r="BA7" s="77"/>
      <c r="BB7" s="77"/>
      <c r="BC7" s="77"/>
      <c r="BD7" s="77"/>
      <c r="BE7" s="77"/>
      <c r="BF7" s="77"/>
      <c r="BG7" s="77"/>
      <c r="BH7" s="77"/>
      <c r="BI7" s="77"/>
      <c r="BJ7" s="77"/>
    </row>
    <row r="8" spans="1:62" s="78" customFormat="1" ht="24" customHeight="1">
      <c r="A8" s="201" t="s">
        <v>506</v>
      </c>
      <c r="B8" s="97">
        <v>8825.17088999931</v>
      </c>
      <c r="C8" s="97">
        <v>30855.399549999478</v>
      </c>
      <c r="D8" s="97">
        <v>22030.228660000168</v>
      </c>
      <c r="E8" s="154">
        <v>-20161.160300000891</v>
      </c>
      <c r="F8" s="229">
        <v>-51016.559850000369</v>
      </c>
      <c r="G8" s="212"/>
      <c r="H8" s="53"/>
      <c r="I8" s="79"/>
      <c r="J8" s="81"/>
      <c r="K8" s="81"/>
      <c r="L8" s="81"/>
      <c r="M8" s="61"/>
      <c r="N8" s="75"/>
      <c r="O8" s="76"/>
      <c r="P8" s="77"/>
      <c r="Q8" s="77"/>
      <c r="R8" s="77"/>
      <c r="S8" s="77"/>
      <c r="T8" s="77"/>
      <c r="U8" s="77"/>
      <c r="V8" s="77"/>
      <c r="W8" s="77"/>
      <c r="X8" s="77"/>
      <c r="Y8" s="77"/>
      <c r="Z8" s="77"/>
      <c r="AA8" s="77"/>
      <c r="AB8" s="77"/>
      <c r="AC8" s="77"/>
      <c r="AD8" s="77"/>
      <c r="AE8" s="77"/>
      <c r="AF8" s="77"/>
      <c r="AG8" s="77"/>
      <c r="AH8" s="77"/>
      <c r="AI8" s="77"/>
      <c r="AJ8" s="77"/>
      <c r="AK8" s="77"/>
      <c r="AL8" s="77"/>
      <c r="AM8" s="77"/>
      <c r="AN8" s="77"/>
      <c r="AO8" s="77"/>
      <c r="AP8" s="77"/>
      <c r="AQ8" s="77"/>
      <c r="AR8" s="77"/>
      <c r="AS8" s="77"/>
      <c r="AT8" s="77"/>
      <c r="AU8" s="77"/>
      <c r="AV8" s="77"/>
      <c r="AW8" s="77"/>
      <c r="AX8" s="77"/>
      <c r="AY8" s="77"/>
      <c r="AZ8" s="77"/>
      <c r="BA8" s="77"/>
      <c r="BB8" s="77"/>
      <c r="BC8" s="77"/>
      <c r="BD8" s="77"/>
      <c r="BE8" s="77"/>
      <c r="BF8" s="77"/>
      <c r="BG8" s="77"/>
      <c r="BH8" s="77"/>
      <c r="BI8" s="77"/>
      <c r="BJ8" s="77"/>
    </row>
    <row r="9" spans="1:62" s="78" customFormat="1" ht="24" customHeight="1">
      <c r="A9" s="201" t="s">
        <v>522</v>
      </c>
      <c r="B9" s="97">
        <v>-4742.5199999999131</v>
      </c>
      <c r="C9" s="97">
        <v>925.20000000000073</v>
      </c>
      <c r="D9" s="97">
        <v>5667.7199999999139</v>
      </c>
      <c r="E9" s="154">
        <v>-5802.4000000000342</v>
      </c>
      <c r="F9" s="229">
        <v>-6727.6000000000349</v>
      </c>
      <c r="G9" s="212"/>
      <c r="H9" s="53"/>
      <c r="I9" s="79"/>
      <c r="J9" s="81"/>
      <c r="K9" s="81"/>
      <c r="L9" s="81"/>
      <c r="M9" s="61"/>
      <c r="N9" s="75"/>
      <c r="O9" s="76"/>
      <c r="P9" s="77"/>
      <c r="Q9" s="77"/>
      <c r="R9" s="77"/>
      <c r="S9" s="77"/>
      <c r="T9" s="77"/>
      <c r="U9" s="77"/>
      <c r="V9" s="77"/>
      <c r="W9" s="77"/>
      <c r="X9" s="77"/>
      <c r="Y9" s="77"/>
      <c r="Z9" s="77"/>
      <c r="AA9" s="77"/>
      <c r="AB9" s="77"/>
      <c r="AC9" s="77"/>
      <c r="AD9" s="77"/>
      <c r="AE9" s="77"/>
      <c r="AF9" s="77"/>
      <c r="AG9" s="77"/>
      <c r="AH9" s="77"/>
      <c r="AI9" s="77"/>
      <c r="AJ9" s="77"/>
      <c r="AK9" s="77"/>
      <c r="AL9" s="77"/>
      <c r="AM9" s="77"/>
      <c r="AN9" s="77"/>
      <c r="AO9" s="77"/>
      <c r="AP9" s="77"/>
      <c r="AQ9" s="77"/>
      <c r="AR9" s="77"/>
      <c r="AS9" s="77"/>
      <c r="AT9" s="77"/>
      <c r="AU9" s="77"/>
      <c r="AV9" s="77"/>
      <c r="AW9" s="77"/>
      <c r="AX9" s="77"/>
      <c r="AY9" s="77"/>
      <c r="AZ9" s="77"/>
      <c r="BA9" s="77"/>
      <c r="BB9" s="77"/>
      <c r="BC9" s="77"/>
      <c r="BD9" s="77"/>
      <c r="BE9" s="77"/>
      <c r="BF9" s="77"/>
      <c r="BG9" s="77"/>
      <c r="BH9" s="77"/>
      <c r="BI9" s="77"/>
      <c r="BJ9" s="77"/>
    </row>
    <row r="10" spans="1:62" s="78" customFormat="1" ht="24" customHeight="1">
      <c r="A10" s="201" t="s">
        <v>600</v>
      </c>
      <c r="B10" s="97">
        <v>-100611</v>
      </c>
      <c r="C10" s="97">
        <v>-207769</v>
      </c>
      <c r="D10" s="97">
        <v>-107158</v>
      </c>
      <c r="E10" s="97">
        <v>-82956</v>
      </c>
      <c r="F10" s="229">
        <v>124813</v>
      </c>
      <c r="G10" s="212"/>
      <c r="H10" s="53"/>
      <c r="I10" s="79"/>
      <c r="J10" s="81"/>
      <c r="K10" s="81"/>
      <c r="L10" s="81"/>
      <c r="M10" s="61"/>
      <c r="N10" s="75"/>
      <c r="O10" s="76"/>
      <c r="P10" s="77"/>
      <c r="Q10" s="77"/>
      <c r="R10" s="77"/>
      <c r="S10" s="77"/>
      <c r="T10" s="77"/>
      <c r="U10" s="77"/>
      <c r="V10" s="77"/>
      <c r="W10" s="77"/>
      <c r="X10" s="77"/>
      <c r="Y10" s="77"/>
      <c r="Z10" s="77"/>
      <c r="AA10" s="77"/>
      <c r="AB10" s="77"/>
      <c r="AC10" s="77"/>
      <c r="AD10" s="77"/>
      <c r="AE10" s="77"/>
      <c r="AF10" s="77"/>
      <c r="AG10" s="77"/>
      <c r="AH10" s="77"/>
      <c r="AI10" s="77"/>
      <c r="AJ10" s="77"/>
      <c r="AK10" s="77"/>
      <c r="AL10" s="77"/>
      <c r="AM10" s="77"/>
      <c r="AN10" s="77"/>
      <c r="AO10" s="77"/>
      <c r="AP10" s="77"/>
      <c r="AQ10" s="77"/>
      <c r="AR10" s="77"/>
      <c r="AS10" s="77"/>
      <c r="AT10" s="77"/>
      <c r="AU10" s="77"/>
      <c r="AV10" s="77"/>
      <c r="AW10" s="77"/>
      <c r="AX10" s="77"/>
      <c r="AY10" s="77"/>
      <c r="AZ10" s="77"/>
      <c r="BA10" s="77"/>
      <c r="BB10" s="77"/>
      <c r="BC10" s="77"/>
      <c r="BD10" s="77"/>
      <c r="BE10" s="77"/>
      <c r="BF10" s="77"/>
      <c r="BG10" s="77"/>
      <c r="BH10" s="77"/>
      <c r="BI10" s="77"/>
      <c r="BJ10" s="77"/>
    </row>
    <row r="11" spans="1:62" s="78" customFormat="1" ht="24" customHeight="1">
      <c r="A11" s="201" t="s">
        <v>509</v>
      </c>
      <c r="B11" s="97">
        <v>-27342</v>
      </c>
      <c r="C11" s="97">
        <v>-22948</v>
      </c>
      <c r="D11" s="97">
        <v>4394</v>
      </c>
      <c r="E11" s="97">
        <v>-14877</v>
      </c>
      <c r="F11" s="229">
        <v>8071</v>
      </c>
      <c r="G11" s="212"/>
      <c r="H11" s="53"/>
      <c r="I11" s="79"/>
      <c r="J11" s="81"/>
      <c r="K11" s="81"/>
      <c r="L11" s="81"/>
      <c r="M11" s="61"/>
      <c r="N11" s="75"/>
      <c r="O11" s="76"/>
      <c r="P11" s="77"/>
      <c r="Q11" s="77"/>
      <c r="R11" s="77"/>
      <c r="S11" s="77"/>
      <c r="T11" s="77"/>
      <c r="U11" s="77"/>
      <c r="V11" s="77"/>
      <c r="W11" s="77"/>
      <c r="X11" s="77"/>
      <c r="Y11" s="77"/>
      <c r="Z11" s="77"/>
      <c r="AA11" s="77"/>
      <c r="AB11" s="77"/>
      <c r="AC11" s="77"/>
      <c r="AD11" s="77"/>
      <c r="AE11" s="77"/>
      <c r="AF11" s="77"/>
      <c r="AG11" s="77"/>
      <c r="AH11" s="77"/>
      <c r="AI11" s="77"/>
      <c r="AJ11" s="77"/>
      <c r="AK11" s="77"/>
      <c r="AL11" s="77"/>
      <c r="AM11" s="77"/>
      <c r="AN11" s="77"/>
      <c r="AO11" s="77"/>
      <c r="AP11" s="77"/>
      <c r="AQ11" s="77"/>
      <c r="AR11" s="77"/>
      <c r="AS11" s="77"/>
      <c r="AT11" s="77"/>
      <c r="AU11" s="77"/>
      <c r="AV11" s="77"/>
      <c r="AW11" s="77"/>
      <c r="AX11" s="77"/>
      <c r="AY11" s="77"/>
      <c r="AZ11" s="77"/>
      <c r="BA11" s="77"/>
      <c r="BB11" s="77"/>
      <c r="BC11" s="77"/>
      <c r="BD11" s="77"/>
      <c r="BE11" s="77"/>
      <c r="BF11" s="77"/>
      <c r="BG11" s="77"/>
      <c r="BH11" s="77"/>
      <c r="BI11" s="77"/>
      <c r="BJ11" s="77"/>
    </row>
    <row r="12" spans="1:62" s="78" customFormat="1" ht="24" customHeight="1">
      <c r="A12" s="201" t="s">
        <v>511</v>
      </c>
      <c r="B12" s="154">
        <v>-2941.2999999998719</v>
      </c>
      <c r="C12" s="154">
        <v>3532.7000000000353</v>
      </c>
      <c r="D12" s="97">
        <v>6473.9999999999072</v>
      </c>
      <c r="E12" s="154">
        <v>-19257</v>
      </c>
      <c r="F12" s="229">
        <v>-22789.700000000033</v>
      </c>
      <c r="G12" s="212"/>
      <c r="H12" s="53"/>
      <c r="I12" s="79"/>
      <c r="J12" s="81"/>
      <c r="K12" s="81"/>
      <c r="L12" s="81"/>
      <c r="M12" s="61"/>
      <c r="N12" s="75"/>
      <c r="O12" s="76"/>
      <c r="P12" s="77"/>
      <c r="Q12" s="77"/>
      <c r="R12" s="77"/>
      <c r="S12" s="77"/>
      <c r="T12" s="77"/>
      <c r="U12" s="77"/>
      <c r="V12" s="77"/>
      <c r="W12" s="77"/>
      <c r="X12" s="77"/>
      <c r="Y12" s="77"/>
      <c r="Z12" s="77"/>
      <c r="AA12" s="77"/>
      <c r="AB12" s="77"/>
      <c r="AC12" s="77"/>
      <c r="AD12" s="77"/>
      <c r="AE12" s="77"/>
      <c r="AF12" s="77"/>
      <c r="AG12" s="77"/>
      <c r="AH12" s="77"/>
      <c r="AI12" s="77"/>
      <c r="AJ12" s="77"/>
      <c r="AK12" s="77"/>
      <c r="AL12" s="77"/>
      <c r="AM12" s="77"/>
      <c r="AN12" s="77"/>
      <c r="AO12" s="77"/>
      <c r="AP12" s="77"/>
      <c r="AQ12" s="77"/>
      <c r="AR12" s="77"/>
      <c r="AS12" s="77"/>
      <c r="AT12" s="77"/>
      <c r="AU12" s="77"/>
      <c r="AV12" s="77"/>
      <c r="AW12" s="77"/>
      <c r="AX12" s="77"/>
      <c r="AY12" s="77"/>
      <c r="AZ12" s="77"/>
      <c r="BA12" s="77"/>
      <c r="BB12" s="77"/>
      <c r="BC12" s="77"/>
      <c r="BD12" s="77"/>
      <c r="BE12" s="77"/>
      <c r="BF12" s="77"/>
      <c r="BG12" s="77"/>
      <c r="BH12" s="77"/>
      <c r="BI12" s="77"/>
      <c r="BJ12" s="77"/>
    </row>
    <row r="13" spans="1:62" s="78" customFormat="1" ht="24" customHeight="1">
      <c r="A13" s="201" t="s">
        <v>495</v>
      </c>
      <c r="B13" s="97">
        <v>-18019.10000000006</v>
      </c>
      <c r="C13" s="97">
        <v>12577</v>
      </c>
      <c r="D13" s="97">
        <v>30596.10000000006</v>
      </c>
      <c r="E13" s="154">
        <v>-9225</v>
      </c>
      <c r="F13" s="229">
        <v>-21802</v>
      </c>
      <c r="G13" s="212"/>
      <c r="H13" s="53"/>
      <c r="I13" s="79"/>
      <c r="J13" s="81"/>
      <c r="K13" s="81"/>
      <c r="L13" s="81"/>
      <c r="M13" s="61"/>
      <c r="N13" s="75"/>
      <c r="O13" s="76"/>
      <c r="P13" s="77"/>
      <c r="Q13" s="77"/>
      <c r="R13" s="77"/>
      <c r="S13" s="77"/>
      <c r="T13" s="77"/>
      <c r="U13" s="77"/>
      <c r="V13" s="77"/>
      <c r="W13" s="77"/>
      <c r="X13" s="77"/>
      <c r="Y13" s="77"/>
      <c r="Z13" s="77"/>
      <c r="AA13" s="77"/>
      <c r="AB13" s="77"/>
      <c r="AC13" s="77"/>
      <c r="AD13" s="77"/>
      <c r="AE13" s="77"/>
      <c r="AF13" s="77"/>
      <c r="AG13" s="77"/>
      <c r="AH13" s="77"/>
      <c r="AI13" s="77"/>
      <c r="AJ13" s="77"/>
      <c r="AK13" s="77"/>
      <c r="AL13" s="77"/>
      <c r="AM13" s="77"/>
      <c r="AN13" s="77"/>
      <c r="AO13" s="77"/>
      <c r="AP13" s="77"/>
      <c r="AQ13" s="77"/>
      <c r="AR13" s="77"/>
      <c r="AS13" s="77"/>
      <c r="AT13" s="77"/>
      <c r="AU13" s="77"/>
      <c r="AV13" s="77"/>
      <c r="AW13" s="77"/>
      <c r="AX13" s="77"/>
      <c r="AY13" s="77"/>
      <c r="AZ13" s="77"/>
      <c r="BA13" s="77"/>
      <c r="BB13" s="77"/>
      <c r="BC13" s="77"/>
      <c r="BD13" s="77"/>
      <c r="BE13" s="77"/>
      <c r="BF13" s="77"/>
      <c r="BG13" s="77"/>
      <c r="BH13" s="77"/>
      <c r="BI13" s="77"/>
      <c r="BJ13" s="77"/>
    </row>
    <row r="14" spans="1:62" s="78" customFormat="1" ht="24" customHeight="1">
      <c r="A14" s="201" t="s">
        <v>526</v>
      </c>
      <c r="B14" s="97">
        <v>-86241.725999999835</v>
      </c>
      <c r="C14" s="97">
        <v>-162962.15657000008</v>
      </c>
      <c r="D14" s="97">
        <v>-76720.430570000244</v>
      </c>
      <c r="E14" s="154">
        <v>-182259.69060000029</v>
      </c>
      <c r="F14" s="229">
        <v>-19297.534030000214</v>
      </c>
      <c r="G14" s="212"/>
      <c r="H14" s="53"/>
      <c r="I14" s="79"/>
      <c r="J14" s="81"/>
      <c r="K14" s="81"/>
      <c r="L14" s="81"/>
      <c r="M14" s="61"/>
      <c r="N14" s="75"/>
      <c r="O14" s="76"/>
      <c r="P14" s="77"/>
      <c r="Q14" s="77"/>
      <c r="R14" s="77"/>
      <c r="S14" s="77"/>
      <c r="T14" s="77"/>
      <c r="U14" s="77"/>
      <c r="V14" s="77"/>
      <c r="W14" s="77"/>
      <c r="X14" s="77"/>
      <c r="Y14" s="77"/>
      <c r="Z14" s="77"/>
      <c r="AA14" s="77"/>
      <c r="AB14" s="77"/>
      <c r="AC14" s="77"/>
      <c r="AD14" s="77"/>
      <c r="AE14" s="77"/>
      <c r="AF14" s="77"/>
      <c r="AG14" s="77"/>
      <c r="AH14" s="77"/>
      <c r="AI14" s="77"/>
      <c r="AJ14" s="77"/>
      <c r="AK14" s="77"/>
      <c r="AL14" s="77"/>
      <c r="AM14" s="77"/>
      <c r="AN14" s="77"/>
      <c r="AO14" s="77"/>
      <c r="AP14" s="77"/>
      <c r="AQ14" s="77"/>
      <c r="AR14" s="77"/>
      <c r="AS14" s="77"/>
      <c r="AT14" s="77"/>
      <c r="AU14" s="77"/>
      <c r="AV14" s="77"/>
      <c r="AW14" s="77"/>
      <c r="AX14" s="77"/>
      <c r="AY14" s="77"/>
      <c r="AZ14" s="77"/>
      <c r="BA14" s="77"/>
      <c r="BB14" s="77"/>
      <c r="BC14" s="77"/>
      <c r="BD14" s="77"/>
      <c r="BE14" s="77"/>
      <c r="BF14" s="77"/>
      <c r="BG14" s="77"/>
      <c r="BH14" s="77"/>
      <c r="BI14" s="77"/>
      <c r="BJ14" s="77"/>
    </row>
    <row r="15" spans="1:62" s="78" customFormat="1" ht="24" customHeight="1">
      <c r="A15" s="201" t="s">
        <v>488</v>
      </c>
      <c r="B15" s="154">
        <v>-17304</v>
      </c>
      <c r="C15" s="154">
        <v>-851</v>
      </c>
      <c r="D15" s="97">
        <v>16453</v>
      </c>
      <c r="E15" s="154">
        <v>-17262</v>
      </c>
      <c r="F15" s="229">
        <v>-16411</v>
      </c>
      <c r="G15" s="212"/>
      <c r="H15" s="53"/>
      <c r="I15" s="79"/>
      <c r="J15" s="81"/>
      <c r="K15" s="81"/>
      <c r="L15" s="81"/>
      <c r="M15" s="61"/>
      <c r="N15" s="75"/>
      <c r="O15" s="76"/>
      <c r="P15" s="77"/>
      <c r="Q15" s="77"/>
      <c r="R15" s="77"/>
      <c r="S15" s="77"/>
      <c r="T15" s="77"/>
      <c r="U15" s="77"/>
      <c r="V15" s="77"/>
      <c r="W15" s="77"/>
      <c r="X15" s="77"/>
      <c r="Y15" s="77"/>
      <c r="Z15" s="77"/>
      <c r="AA15" s="77"/>
      <c r="AB15" s="77"/>
      <c r="AC15" s="77"/>
      <c r="AD15" s="77"/>
      <c r="AE15" s="77"/>
      <c r="AF15" s="77"/>
      <c r="AG15" s="77"/>
      <c r="AH15" s="77"/>
      <c r="AI15" s="77"/>
      <c r="AJ15" s="77"/>
      <c r="AK15" s="77"/>
      <c r="AL15" s="77"/>
      <c r="AM15" s="77"/>
      <c r="AN15" s="77"/>
      <c r="AO15" s="77"/>
      <c r="AP15" s="77"/>
      <c r="AQ15" s="77"/>
      <c r="AR15" s="77"/>
      <c r="AS15" s="77"/>
      <c r="AT15" s="77"/>
      <c r="AU15" s="77"/>
      <c r="AV15" s="77"/>
      <c r="AW15" s="77"/>
      <c r="AX15" s="77"/>
      <c r="AY15" s="77"/>
      <c r="AZ15" s="77"/>
      <c r="BA15" s="77"/>
      <c r="BB15" s="77"/>
      <c r="BC15" s="77"/>
      <c r="BD15" s="77"/>
      <c r="BE15" s="77"/>
      <c r="BF15" s="77"/>
      <c r="BG15" s="77"/>
      <c r="BH15" s="77"/>
      <c r="BI15" s="77"/>
      <c r="BJ15" s="77"/>
    </row>
    <row r="16" spans="1:62" s="78" customFormat="1" ht="24" customHeight="1">
      <c r="A16" s="96" t="s">
        <v>515</v>
      </c>
      <c r="B16" s="97">
        <v>-170620.49300000016</v>
      </c>
      <c r="C16" s="97">
        <v>-152059.00000000003</v>
      </c>
      <c r="D16" s="97">
        <v>18561.493000000133</v>
      </c>
      <c r="E16" s="155">
        <v>-138375.27000000016</v>
      </c>
      <c r="F16" s="219">
        <v>13683.729999999865</v>
      </c>
      <c r="G16" s="212"/>
      <c r="H16" s="53"/>
      <c r="I16" s="79"/>
      <c r="J16" s="81"/>
      <c r="K16" s="81"/>
      <c r="L16" s="81"/>
      <c r="M16" s="58"/>
      <c r="N16" s="75"/>
      <c r="O16" s="76"/>
      <c r="P16" s="77"/>
      <c r="Q16" s="77"/>
      <c r="R16" s="77"/>
      <c r="S16" s="77"/>
      <c r="T16" s="77"/>
      <c r="U16" s="77"/>
      <c r="V16" s="77"/>
      <c r="W16" s="77"/>
      <c r="X16" s="77"/>
      <c r="Y16" s="77"/>
      <c r="Z16" s="77"/>
      <c r="AA16" s="77"/>
      <c r="AB16" s="77"/>
      <c r="AC16" s="77"/>
      <c r="AD16" s="77"/>
      <c r="AE16" s="77"/>
      <c r="AF16" s="77"/>
      <c r="AG16" s="77"/>
      <c r="AH16" s="77"/>
      <c r="AI16" s="77"/>
      <c r="AJ16" s="77"/>
      <c r="AK16" s="77"/>
      <c r="AL16" s="77"/>
      <c r="AM16" s="77"/>
      <c r="AN16" s="77"/>
      <c r="AO16" s="77"/>
      <c r="AP16" s="77"/>
      <c r="AQ16" s="77"/>
      <c r="AR16" s="77"/>
      <c r="AS16" s="77"/>
      <c r="AT16" s="77"/>
      <c r="AU16" s="77"/>
      <c r="AV16" s="77"/>
      <c r="AW16" s="77"/>
      <c r="AX16" s="77"/>
      <c r="AY16" s="77"/>
      <c r="AZ16" s="77"/>
      <c r="BA16" s="77"/>
      <c r="BB16" s="77"/>
      <c r="BC16" s="77"/>
      <c r="BD16" s="77"/>
      <c r="BE16" s="77"/>
      <c r="BF16" s="77"/>
      <c r="BG16" s="77"/>
      <c r="BH16" s="77"/>
      <c r="BI16" s="77"/>
      <c r="BJ16" s="77"/>
    </row>
    <row r="17" spans="1:62" s="78" customFormat="1" ht="24" customHeight="1">
      <c r="A17" s="96" t="s">
        <v>653</v>
      </c>
      <c r="B17" s="97">
        <v>-233962.49900000013</v>
      </c>
      <c r="C17" s="97">
        <v>86113.568000000028</v>
      </c>
      <c r="D17" s="97">
        <v>320076.06700000016</v>
      </c>
      <c r="E17" s="106">
        <v>-257854.04200000051</v>
      </c>
      <c r="F17" s="219">
        <v>-343967.61000000057</v>
      </c>
      <c r="G17" s="212"/>
      <c r="H17" s="53"/>
      <c r="I17" s="79"/>
      <c r="J17" s="81"/>
      <c r="K17" s="81"/>
      <c r="L17" s="81"/>
      <c r="M17" s="58"/>
      <c r="N17" s="75"/>
      <c r="O17" s="76"/>
      <c r="P17" s="77"/>
      <c r="Q17" s="77"/>
      <c r="R17" s="77"/>
      <c r="S17" s="77"/>
      <c r="T17" s="77"/>
      <c r="U17" s="77"/>
      <c r="V17" s="77"/>
      <c r="W17" s="77"/>
      <c r="X17" s="77"/>
      <c r="Y17" s="77"/>
      <c r="Z17" s="77"/>
      <c r="AA17" s="77"/>
      <c r="AB17" s="77"/>
      <c r="AC17" s="77"/>
      <c r="AD17" s="77"/>
      <c r="AE17" s="77"/>
      <c r="AF17" s="77"/>
      <c r="AG17" s="77"/>
      <c r="AH17" s="77"/>
      <c r="AI17" s="77"/>
      <c r="AJ17" s="77"/>
      <c r="AK17" s="77"/>
      <c r="AL17" s="77"/>
      <c r="AM17" s="77"/>
      <c r="AN17" s="77"/>
      <c r="AO17" s="77"/>
      <c r="AP17" s="77"/>
      <c r="AQ17" s="77"/>
      <c r="AR17" s="77"/>
      <c r="AS17" s="77"/>
      <c r="AT17" s="77"/>
      <c r="AU17" s="77"/>
      <c r="AV17" s="77"/>
      <c r="AW17" s="77"/>
      <c r="AX17" s="77"/>
      <c r="AY17" s="77"/>
      <c r="AZ17" s="77"/>
      <c r="BA17" s="77"/>
      <c r="BB17" s="77"/>
      <c r="BC17" s="77"/>
      <c r="BD17" s="77"/>
      <c r="BE17" s="77"/>
      <c r="BF17" s="77"/>
      <c r="BG17" s="77"/>
      <c r="BH17" s="77"/>
      <c r="BI17" s="77"/>
      <c r="BJ17" s="77"/>
    </row>
    <row r="18" spans="1:62" s="78" customFormat="1" ht="24" customHeight="1">
      <c r="A18" s="96" t="s">
        <v>654</v>
      </c>
      <c r="B18" s="154">
        <v>-1074560.4000000001</v>
      </c>
      <c r="C18" s="154">
        <v>-1287710.2000000002</v>
      </c>
      <c r="D18" s="97">
        <v>-213149.80000000005</v>
      </c>
      <c r="E18" s="153">
        <v>-178574.10000000018</v>
      </c>
      <c r="F18" s="219">
        <v>1109136.1000000001</v>
      </c>
      <c r="G18" s="212"/>
      <c r="H18" s="53"/>
      <c r="I18" s="79"/>
      <c r="J18" s="81"/>
      <c r="K18" s="81"/>
      <c r="L18" s="81"/>
      <c r="M18" s="61"/>
      <c r="N18" s="75"/>
      <c r="O18" s="76"/>
      <c r="P18" s="77"/>
      <c r="Q18" s="77"/>
      <c r="R18" s="77"/>
      <c r="S18" s="77"/>
      <c r="T18" s="77"/>
      <c r="U18" s="77"/>
      <c r="V18" s="77"/>
      <c r="W18" s="77"/>
      <c r="X18" s="77"/>
      <c r="Y18" s="77"/>
      <c r="Z18" s="77"/>
      <c r="AA18" s="77"/>
      <c r="AB18" s="77"/>
      <c r="AC18" s="77"/>
      <c r="AD18" s="77"/>
      <c r="AE18" s="77"/>
      <c r="AF18" s="77"/>
      <c r="AG18" s="77"/>
      <c r="AH18" s="77"/>
      <c r="AI18" s="77"/>
      <c r="AJ18" s="77"/>
      <c r="AK18" s="77"/>
      <c r="AL18" s="77"/>
      <c r="AM18" s="77"/>
      <c r="AN18" s="77"/>
      <c r="AO18" s="77"/>
      <c r="AP18" s="77"/>
      <c r="AQ18" s="77"/>
      <c r="AR18" s="77"/>
      <c r="AS18" s="77"/>
      <c r="AT18" s="77"/>
      <c r="AU18" s="77"/>
      <c r="AV18" s="77"/>
      <c r="AW18" s="77"/>
      <c r="AX18" s="77"/>
      <c r="AY18" s="77"/>
      <c r="AZ18" s="77"/>
      <c r="BA18" s="77"/>
      <c r="BB18" s="77"/>
      <c r="BC18" s="77"/>
      <c r="BD18" s="77"/>
      <c r="BE18" s="77"/>
      <c r="BF18" s="77"/>
      <c r="BG18" s="77"/>
      <c r="BH18" s="77"/>
      <c r="BI18" s="77"/>
      <c r="BJ18" s="77"/>
    </row>
    <row r="19" spans="1:62" s="78" customFormat="1" ht="24" customHeight="1">
      <c r="A19" s="96" t="s">
        <v>602</v>
      </c>
      <c r="B19" s="97">
        <v>-47872.399999999812</v>
      </c>
      <c r="C19" s="97">
        <v>-23891.298874999928</v>
      </c>
      <c r="D19" s="97">
        <v>23981.101124999885</v>
      </c>
      <c r="E19" s="107">
        <v>-36591.900000000096</v>
      </c>
      <c r="F19" s="219">
        <v>-12700.601125000168</v>
      </c>
      <c r="G19" s="212"/>
      <c r="H19" s="53"/>
      <c r="I19" s="79"/>
      <c r="J19" s="81"/>
      <c r="K19" s="81"/>
      <c r="L19" s="81"/>
      <c r="M19" s="61"/>
      <c r="N19" s="75"/>
      <c r="O19" s="76"/>
      <c r="P19" s="77"/>
      <c r="Q19" s="77"/>
      <c r="R19" s="77"/>
      <c r="S19" s="77"/>
      <c r="T19" s="77"/>
      <c r="U19" s="77"/>
      <c r="V19" s="77"/>
      <c r="W19" s="77"/>
      <c r="X19" s="77"/>
      <c r="Y19" s="77"/>
      <c r="Z19" s="77"/>
      <c r="AA19" s="77"/>
      <c r="AB19" s="77"/>
      <c r="AC19" s="77"/>
      <c r="AD19" s="77"/>
      <c r="AE19" s="77"/>
      <c r="AF19" s="77"/>
      <c r="AG19" s="77"/>
      <c r="AH19" s="77"/>
      <c r="AI19" s="77"/>
      <c r="AJ19" s="77"/>
      <c r="AK19" s="77"/>
      <c r="AL19" s="77"/>
      <c r="AM19" s="77"/>
      <c r="AN19" s="77"/>
      <c r="AO19" s="77"/>
      <c r="AP19" s="77"/>
      <c r="AQ19" s="77"/>
      <c r="AR19" s="77"/>
      <c r="AS19" s="77"/>
      <c r="AT19" s="77"/>
      <c r="AU19" s="77"/>
      <c r="AV19" s="77"/>
      <c r="AW19" s="77"/>
      <c r="AX19" s="77"/>
      <c r="AY19" s="77"/>
      <c r="AZ19" s="77"/>
      <c r="BA19" s="77"/>
      <c r="BB19" s="77"/>
      <c r="BC19" s="77"/>
      <c r="BD19" s="77"/>
      <c r="BE19" s="77"/>
      <c r="BF19" s="77"/>
      <c r="BG19" s="77"/>
      <c r="BH19" s="77"/>
      <c r="BI19" s="77"/>
      <c r="BJ19" s="77"/>
    </row>
    <row r="20" spans="1:62" s="78" customFormat="1" ht="24" customHeight="1">
      <c r="A20" s="96" t="s">
        <v>655</v>
      </c>
      <c r="B20" s="97">
        <v>-29635.599999999977</v>
      </c>
      <c r="C20" s="97">
        <v>-24089.140000000021</v>
      </c>
      <c r="D20" s="97">
        <v>5546.4599999999555</v>
      </c>
      <c r="E20" s="107">
        <v>-10492.300000000001</v>
      </c>
      <c r="F20" s="219">
        <v>13596.84000000002</v>
      </c>
      <c r="G20" s="212"/>
      <c r="H20" s="53"/>
      <c r="I20" s="79"/>
      <c r="J20" s="81"/>
      <c r="K20" s="81"/>
      <c r="L20" s="81"/>
      <c r="M20" s="61"/>
      <c r="N20" s="75"/>
      <c r="O20" s="76"/>
      <c r="P20" s="77"/>
      <c r="Q20" s="77"/>
      <c r="R20" s="77"/>
      <c r="S20" s="77"/>
      <c r="T20" s="77"/>
      <c r="U20" s="77"/>
      <c r="V20" s="77"/>
      <c r="W20" s="77"/>
      <c r="X20" s="77"/>
      <c r="Y20" s="77"/>
      <c r="Z20" s="77"/>
      <c r="AA20" s="77"/>
      <c r="AB20" s="77"/>
      <c r="AC20" s="77"/>
      <c r="AD20" s="77"/>
      <c r="AE20" s="77"/>
      <c r="AF20" s="77"/>
      <c r="AG20" s="77"/>
      <c r="AH20" s="77"/>
      <c r="AI20" s="77"/>
      <c r="AJ20" s="77"/>
      <c r="AK20" s="77"/>
      <c r="AL20" s="77"/>
      <c r="AM20" s="77"/>
      <c r="AN20" s="77"/>
      <c r="AO20" s="77"/>
      <c r="AP20" s="77"/>
      <c r="AQ20" s="77"/>
      <c r="AR20" s="77"/>
      <c r="AS20" s="77"/>
      <c r="AT20" s="77"/>
      <c r="AU20" s="77"/>
      <c r="AV20" s="77"/>
      <c r="AW20" s="77"/>
      <c r="AX20" s="77"/>
      <c r="AY20" s="77"/>
      <c r="AZ20" s="77"/>
      <c r="BA20" s="77"/>
      <c r="BB20" s="77"/>
      <c r="BC20" s="77"/>
      <c r="BD20" s="77"/>
      <c r="BE20" s="77"/>
      <c r="BF20" s="77"/>
      <c r="BG20" s="77"/>
      <c r="BH20" s="77"/>
      <c r="BI20" s="77"/>
      <c r="BJ20" s="77"/>
    </row>
    <row r="21" spans="1:62" s="78" customFormat="1" ht="24" customHeight="1">
      <c r="A21" s="96" t="s">
        <v>603</v>
      </c>
      <c r="B21" s="97">
        <v>-11594.299999999988</v>
      </c>
      <c r="C21" s="97">
        <v>9698.3000000000466</v>
      </c>
      <c r="D21" s="97">
        <v>21292.600000000035</v>
      </c>
      <c r="E21" s="107">
        <v>-18762.299999999988</v>
      </c>
      <c r="F21" s="219">
        <v>-28460.600000000035</v>
      </c>
      <c r="G21" s="212"/>
      <c r="H21" s="53"/>
      <c r="I21" s="79"/>
      <c r="J21" s="81"/>
      <c r="K21" s="81"/>
      <c r="L21" s="81"/>
      <c r="M21" s="61"/>
      <c r="N21" s="75"/>
      <c r="O21" s="76"/>
      <c r="P21" s="77"/>
      <c r="Q21" s="77"/>
      <c r="R21" s="77"/>
      <c r="S21" s="77"/>
      <c r="T21" s="77"/>
      <c r="U21" s="77"/>
      <c r="V21" s="77"/>
      <c r="W21" s="77"/>
      <c r="X21" s="77"/>
      <c r="Y21" s="77"/>
      <c r="Z21" s="77"/>
      <c r="AA21" s="77"/>
      <c r="AB21" s="77"/>
      <c r="AC21" s="77"/>
      <c r="AD21" s="77"/>
      <c r="AE21" s="77"/>
      <c r="AF21" s="77"/>
      <c r="AG21" s="77"/>
      <c r="AH21" s="77"/>
      <c r="AI21" s="77"/>
      <c r="AJ21" s="77"/>
      <c r="AK21" s="77"/>
      <c r="AL21" s="77"/>
      <c r="AM21" s="77"/>
      <c r="AN21" s="77"/>
      <c r="AO21" s="77"/>
      <c r="AP21" s="77"/>
      <c r="AQ21" s="77"/>
      <c r="AR21" s="77"/>
      <c r="AS21" s="77"/>
      <c r="AT21" s="77"/>
      <c r="AU21" s="77"/>
      <c r="AV21" s="77"/>
      <c r="AW21" s="77"/>
      <c r="AX21" s="77"/>
      <c r="AY21" s="77"/>
      <c r="AZ21" s="77"/>
      <c r="BA21" s="77"/>
      <c r="BB21" s="77"/>
      <c r="BC21" s="77"/>
      <c r="BD21" s="77"/>
      <c r="BE21" s="77"/>
      <c r="BF21" s="77"/>
      <c r="BG21" s="77"/>
      <c r="BH21" s="77"/>
      <c r="BI21" s="77"/>
      <c r="BJ21" s="77"/>
    </row>
    <row r="22" spans="1:62" s="78" customFormat="1" ht="24" customHeight="1">
      <c r="A22" s="96" t="s">
        <v>513</v>
      </c>
      <c r="B22" s="97">
        <v>-429942</v>
      </c>
      <c r="C22" s="97">
        <v>-307420.10000000021</v>
      </c>
      <c r="D22" s="97">
        <v>122521.89999999979</v>
      </c>
      <c r="E22" s="107">
        <v>-196547.59999999998</v>
      </c>
      <c r="F22" s="219">
        <v>110872.50000000023</v>
      </c>
      <c r="G22" s="212"/>
      <c r="H22" s="53"/>
      <c r="I22" s="79"/>
      <c r="J22" s="81"/>
      <c r="K22" s="81"/>
      <c r="L22" s="81"/>
      <c r="M22" s="61"/>
      <c r="N22" s="75"/>
      <c r="O22" s="76"/>
      <c r="P22" s="77"/>
      <c r="Q22" s="77"/>
      <c r="R22" s="77"/>
      <c r="S22" s="77"/>
      <c r="T22" s="77"/>
      <c r="U22" s="77"/>
      <c r="V22" s="77"/>
      <c r="W22" s="77"/>
      <c r="X22" s="77"/>
      <c r="Y22" s="77"/>
      <c r="Z22" s="77"/>
      <c r="AA22" s="77"/>
      <c r="AB22" s="77"/>
      <c r="AC22" s="77"/>
      <c r="AD22" s="77"/>
      <c r="AE22" s="77"/>
      <c r="AF22" s="77"/>
      <c r="AG22" s="77"/>
      <c r="AH22" s="77"/>
      <c r="AI22" s="77"/>
      <c r="AJ22" s="77"/>
      <c r="AK22" s="77"/>
      <c r="AL22" s="77"/>
      <c r="AM22" s="77"/>
      <c r="AN22" s="77"/>
      <c r="AO22" s="77"/>
      <c r="AP22" s="77"/>
      <c r="AQ22" s="77"/>
      <c r="AR22" s="77"/>
      <c r="AS22" s="77"/>
      <c r="AT22" s="77"/>
      <c r="AU22" s="77"/>
      <c r="AV22" s="77"/>
      <c r="AW22" s="77"/>
      <c r="AX22" s="77"/>
      <c r="AY22" s="77"/>
      <c r="AZ22" s="77"/>
      <c r="BA22" s="77"/>
      <c r="BB22" s="77"/>
      <c r="BC22" s="77"/>
      <c r="BD22" s="77"/>
      <c r="BE22" s="77"/>
      <c r="BF22" s="77"/>
      <c r="BG22" s="77"/>
      <c r="BH22" s="77"/>
      <c r="BI22" s="77"/>
      <c r="BJ22" s="77"/>
    </row>
    <row r="23" spans="1:62" s="78" customFormat="1" ht="24" customHeight="1">
      <c r="A23" s="96" t="s">
        <v>497</v>
      </c>
      <c r="B23" s="97">
        <v>-71641</v>
      </c>
      <c r="C23" s="97">
        <v>60601</v>
      </c>
      <c r="D23" s="97">
        <v>132242</v>
      </c>
      <c r="E23" s="107">
        <v>-85913</v>
      </c>
      <c r="F23" s="219">
        <v>-146514</v>
      </c>
      <c r="G23" s="212"/>
      <c r="H23" s="53"/>
      <c r="I23" s="79"/>
      <c r="J23" s="81"/>
      <c r="K23" s="81"/>
      <c r="L23" s="81"/>
      <c r="M23" s="61"/>
      <c r="N23" s="75"/>
      <c r="O23" s="76"/>
      <c r="P23" s="77"/>
      <c r="Q23" s="77"/>
      <c r="R23" s="77"/>
      <c r="S23" s="77"/>
      <c r="T23" s="77"/>
      <c r="U23" s="77"/>
      <c r="V23" s="77"/>
      <c r="W23" s="77"/>
      <c r="X23" s="77"/>
      <c r="Y23" s="77"/>
      <c r="Z23" s="77"/>
      <c r="AA23" s="77"/>
      <c r="AB23" s="77"/>
      <c r="AC23" s="77"/>
      <c r="AD23" s="77"/>
      <c r="AE23" s="77"/>
      <c r="AF23" s="77"/>
      <c r="AG23" s="77"/>
      <c r="AH23" s="77"/>
      <c r="AI23" s="77"/>
      <c r="AJ23" s="77"/>
      <c r="AK23" s="77"/>
      <c r="AL23" s="77"/>
      <c r="AM23" s="77"/>
      <c r="AN23" s="77"/>
      <c r="AO23" s="77"/>
      <c r="AP23" s="77"/>
      <c r="AQ23" s="77"/>
      <c r="AR23" s="77"/>
      <c r="AS23" s="77"/>
      <c r="AT23" s="77"/>
      <c r="AU23" s="77"/>
      <c r="AV23" s="77"/>
      <c r="AW23" s="77"/>
      <c r="AX23" s="77"/>
      <c r="AY23" s="77"/>
      <c r="AZ23" s="77"/>
      <c r="BA23" s="77"/>
      <c r="BB23" s="77"/>
      <c r="BC23" s="77"/>
      <c r="BD23" s="77"/>
      <c r="BE23" s="77"/>
      <c r="BF23" s="77"/>
      <c r="BG23" s="77"/>
      <c r="BH23" s="77"/>
      <c r="BI23" s="77"/>
      <c r="BJ23" s="77"/>
    </row>
    <row r="24" spans="1:62" s="78" customFormat="1" ht="24" customHeight="1">
      <c r="A24" s="96" t="s">
        <v>256</v>
      </c>
      <c r="B24" s="97">
        <v>20166.899999999674</v>
      </c>
      <c r="C24" s="97">
        <v>-53602.914650000312</v>
      </c>
      <c r="D24" s="97">
        <v>-73769.814649999986</v>
      </c>
      <c r="E24" s="107">
        <v>13066.341929999704</v>
      </c>
      <c r="F24" s="219">
        <v>66669.256580000016</v>
      </c>
      <c r="G24" s="212"/>
      <c r="H24" s="53"/>
      <c r="I24" s="79"/>
      <c r="J24" s="81"/>
      <c r="K24" s="81"/>
      <c r="L24" s="81"/>
      <c r="M24" s="61"/>
      <c r="N24" s="75"/>
      <c r="O24" s="76"/>
      <c r="P24" s="77"/>
      <c r="Q24" s="77"/>
      <c r="R24" s="77"/>
      <c r="S24" s="77"/>
      <c r="T24" s="77"/>
      <c r="U24" s="77"/>
      <c r="V24" s="77"/>
      <c r="W24" s="77"/>
      <c r="X24" s="77"/>
      <c r="Y24" s="77"/>
      <c r="Z24" s="77"/>
      <c r="AA24" s="77"/>
      <c r="AB24" s="77"/>
      <c r="AC24" s="77"/>
      <c r="AD24" s="77"/>
      <c r="AE24" s="77"/>
      <c r="AF24" s="77"/>
      <c r="AG24" s="77"/>
      <c r="AH24" s="77"/>
      <c r="AI24" s="77"/>
      <c r="AJ24" s="77"/>
      <c r="AK24" s="77"/>
      <c r="AL24" s="77"/>
      <c r="AM24" s="77"/>
      <c r="AN24" s="77"/>
      <c r="AO24" s="77"/>
      <c r="AP24" s="77"/>
      <c r="AQ24" s="77"/>
      <c r="AR24" s="77"/>
      <c r="AS24" s="77"/>
      <c r="AT24" s="77"/>
      <c r="AU24" s="77"/>
      <c r="AV24" s="77"/>
      <c r="AW24" s="77"/>
      <c r="AX24" s="77"/>
      <c r="AY24" s="77"/>
      <c r="AZ24" s="77"/>
      <c r="BA24" s="77"/>
      <c r="BB24" s="77"/>
      <c r="BC24" s="77"/>
      <c r="BD24" s="77"/>
      <c r="BE24" s="77"/>
      <c r="BF24" s="77"/>
      <c r="BG24" s="77"/>
      <c r="BH24" s="77"/>
      <c r="BI24" s="77"/>
      <c r="BJ24" s="77"/>
    </row>
    <row r="25" spans="1:62" s="78" customFormat="1" ht="24" customHeight="1">
      <c r="A25" s="96" t="s">
        <v>517</v>
      </c>
      <c r="B25" s="97">
        <v>-47440</v>
      </c>
      <c r="C25" s="97">
        <v>-35417</v>
      </c>
      <c r="D25" s="97">
        <v>12023</v>
      </c>
      <c r="E25" s="153">
        <v>-32924</v>
      </c>
      <c r="F25" s="219">
        <v>2493</v>
      </c>
      <c r="G25" s="212"/>
      <c r="H25" s="53"/>
      <c r="I25" s="79"/>
      <c r="J25" s="81"/>
      <c r="K25" s="81"/>
      <c r="L25" s="81"/>
      <c r="M25" s="61"/>
      <c r="N25" s="75"/>
      <c r="O25" s="76"/>
      <c r="P25" s="77"/>
      <c r="Q25" s="77"/>
      <c r="R25" s="77"/>
      <c r="S25" s="77"/>
      <c r="T25" s="77"/>
      <c r="U25" s="77"/>
      <c r="V25" s="77"/>
      <c r="W25" s="77"/>
      <c r="X25" s="77"/>
      <c r="Y25" s="77"/>
      <c r="Z25" s="77"/>
      <c r="AA25" s="77"/>
      <c r="AB25" s="77"/>
      <c r="AC25" s="77"/>
      <c r="AD25" s="77"/>
      <c r="AE25" s="77"/>
      <c r="AF25" s="77"/>
      <c r="AG25" s="77"/>
      <c r="AH25" s="77"/>
      <c r="AI25" s="77"/>
      <c r="AJ25" s="77"/>
      <c r="AK25" s="77"/>
      <c r="AL25" s="77"/>
      <c r="AM25" s="77"/>
      <c r="AN25" s="77"/>
      <c r="AO25" s="77"/>
      <c r="AP25" s="77"/>
      <c r="AQ25" s="77"/>
      <c r="AR25" s="77"/>
      <c r="AS25" s="77"/>
      <c r="AT25" s="77"/>
      <c r="AU25" s="77"/>
      <c r="AV25" s="77"/>
      <c r="AW25" s="77"/>
      <c r="AX25" s="77"/>
      <c r="AY25" s="77"/>
      <c r="AZ25" s="77"/>
      <c r="BA25" s="77"/>
      <c r="BB25" s="77"/>
      <c r="BC25" s="77"/>
      <c r="BD25" s="77"/>
      <c r="BE25" s="77"/>
      <c r="BF25" s="77"/>
      <c r="BG25" s="77"/>
      <c r="BH25" s="77"/>
      <c r="BI25" s="77"/>
      <c r="BJ25" s="77"/>
    </row>
    <row r="26" spans="1:62" s="78" customFormat="1" ht="24" customHeight="1">
      <c r="A26" s="96" t="s">
        <v>605</v>
      </c>
      <c r="B26" s="97">
        <v>-176665.50000000067</v>
      </c>
      <c r="C26" s="97">
        <v>-172400.13865000088</v>
      </c>
      <c r="D26" s="97">
        <v>4265.3613499997882</v>
      </c>
      <c r="E26" s="107">
        <v>-151265.7400000004</v>
      </c>
      <c r="F26" s="219">
        <v>21134.398650000483</v>
      </c>
      <c r="G26" s="212"/>
      <c r="H26" s="53"/>
      <c r="I26" s="79"/>
      <c r="J26" s="81"/>
      <c r="K26" s="81"/>
      <c r="L26" s="81"/>
      <c r="M26" s="61"/>
      <c r="N26" s="75"/>
      <c r="O26" s="76"/>
      <c r="P26" s="77"/>
      <c r="Q26" s="77"/>
      <c r="R26" s="77"/>
      <c r="S26" s="77"/>
      <c r="T26" s="77"/>
      <c r="U26" s="77"/>
      <c r="V26" s="77"/>
      <c r="W26" s="77"/>
      <c r="X26" s="77"/>
      <c r="Y26" s="77"/>
      <c r="Z26" s="77"/>
      <c r="AA26" s="77"/>
      <c r="AB26" s="77"/>
      <c r="AC26" s="77"/>
      <c r="AD26" s="77"/>
      <c r="AE26" s="77"/>
      <c r="AF26" s="77"/>
      <c r="AG26" s="77"/>
      <c r="AH26" s="77"/>
      <c r="AI26" s="77"/>
      <c r="AJ26" s="77"/>
      <c r="AK26" s="77"/>
      <c r="AL26" s="77"/>
      <c r="AM26" s="77"/>
      <c r="AN26" s="77"/>
      <c r="AO26" s="77"/>
      <c r="AP26" s="77"/>
      <c r="AQ26" s="77"/>
      <c r="AR26" s="77"/>
      <c r="AS26" s="77"/>
      <c r="AT26" s="77"/>
      <c r="AU26" s="77"/>
      <c r="AV26" s="77"/>
      <c r="AW26" s="77"/>
      <c r="AX26" s="77"/>
      <c r="AY26" s="77"/>
      <c r="AZ26" s="77"/>
      <c r="BA26" s="77"/>
      <c r="BB26" s="77"/>
      <c r="BC26" s="77"/>
      <c r="BD26" s="77"/>
      <c r="BE26" s="77"/>
      <c r="BF26" s="77"/>
      <c r="BG26" s="77"/>
      <c r="BH26" s="77"/>
      <c r="BI26" s="77"/>
      <c r="BJ26" s="77"/>
    </row>
    <row r="27" spans="1:62" s="78" customFormat="1" ht="24" customHeight="1">
      <c r="A27" s="96" t="s">
        <v>524</v>
      </c>
      <c r="B27" s="97">
        <v>-144438.49999999924</v>
      </c>
      <c r="C27" s="97">
        <v>196232.26013999997</v>
      </c>
      <c r="D27" s="97">
        <v>340670.76013999921</v>
      </c>
      <c r="E27" s="106">
        <v>-187692.5</v>
      </c>
      <c r="F27" s="219">
        <v>-383924.76013999997</v>
      </c>
      <c r="G27" s="212"/>
      <c r="H27" s="53"/>
      <c r="I27" s="79"/>
      <c r="J27" s="81"/>
      <c r="K27" s="81"/>
      <c r="L27" s="81"/>
      <c r="M27" s="58"/>
      <c r="N27" s="75"/>
      <c r="O27" s="76"/>
      <c r="P27" s="77"/>
      <c r="Q27" s="77"/>
      <c r="R27" s="77"/>
      <c r="S27" s="77"/>
      <c r="T27" s="77"/>
      <c r="U27" s="77"/>
      <c r="V27" s="77"/>
      <c r="W27" s="77"/>
      <c r="X27" s="77"/>
      <c r="Y27" s="77"/>
      <c r="Z27" s="77"/>
      <c r="AA27" s="77"/>
      <c r="AB27" s="77"/>
      <c r="AC27" s="77"/>
      <c r="AD27" s="77"/>
      <c r="AE27" s="77"/>
      <c r="AF27" s="77"/>
      <c r="AG27" s="77"/>
      <c r="AH27" s="77"/>
      <c r="AI27" s="77"/>
      <c r="AJ27" s="77"/>
      <c r="AK27" s="77"/>
      <c r="AL27" s="77"/>
      <c r="AM27" s="77"/>
      <c r="AN27" s="77"/>
      <c r="AO27" s="77"/>
      <c r="AP27" s="77"/>
      <c r="AQ27" s="77"/>
      <c r="AR27" s="77"/>
      <c r="AS27" s="77"/>
      <c r="AT27" s="77"/>
      <c r="AU27" s="77"/>
      <c r="AV27" s="77"/>
      <c r="AW27" s="77"/>
      <c r="AX27" s="77"/>
      <c r="AY27" s="77"/>
      <c r="AZ27" s="77"/>
      <c r="BA27" s="77"/>
      <c r="BB27" s="77"/>
      <c r="BC27" s="77"/>
      <c r="BD27" s="77"/>
      <c r="BE27" s="77"/>
      <c r="BF27" s="77"/>
      <c r="BG27" s="77"/>
      <c r="BH27" s="77"/>
      <c r="BI27" s="77"/>
      <c r="BJ27" s="77"/>
    </row>
    <row r="28" spans="1:62" s="78" customFormat="1" ht="24" customHeight="1">
      <c r="A28" s="96" t="s">
        <v>645</v>
      </c>
      <c r="B28" s="97">
        <v>2013.5999999999185</v>
      </c>
      <c r="C28" s="97">
        <v>-84233.199999999022</v>
      </c>
      <c r="D28" s="97">
        <v>-86246.799999998941</v>
      </c>
      <c r="E28" s="107">
        <v>28009.699999999604</v>
      </c>
      <c r="F28" s="219">
        <v>112242.89999999863</v>
      </c>
      <c r="G28" s="212"/>
      <c r="H28" s="53"/>
      <c r="I28" s="79"/>
      <c r="J28" s="81"/>
      <c r="K28" s="81"/>
      <c r="L28" s="81"/>
      <c r="M28" s="61"/>
      <c r="N28" s="75"/>
      <c r="O28" s="76"/>
      <c r="P28" s="77"/>
      <c r="Q28" s="77"/>
      <c r="R28" s="77"/>
      <c r="S28" s="77"/>
      <c r="T28" s="77"/>
      <c r="U28" s="77"/>
      <c r="V28" s="77"/>
      <c r="W28" s="77"/>
      <c r="X28" s="77"/>
      <c r="Y28" s="77"/>
      <c r="Z28" s="77"/>
      <c r="AA28" s="77"/>
      <c r="AB28" s="77"/>
      <c r="AC28" s="77"/>
      <c r="AD28" s="77"/>
      <c r="AE28" s="77"/>
      <c r="AF28" s="77"/>
      <c r="AG28" s="77"/>
      <c r="AH28" s="77"/>
      <c r="AI28" s="77"/>
      <c r="AJ28" s="77"/>
      <c r="AK28" s="77"/>
      <c r="AL28" s="77"/>
      <c r="AM28" s="77"/>
      <c r="AN28" s="77"/>
      <c r="AO28" s="77"/>
      <c r="AP28" s="77"/>
      <c r="AQ28" s="77"/>
      <c r="AR28" s="77"/>
      <c r="AS28" s="77"/>
      <c r="AT28" s="77"/>
      <c r="AU28" s="77"/>
      <c r="AV28" s="77"/>
      <c r="AW28" s="77"/>
      <c r="AX28" s="77"/>
      <c r="AY28" s="77"/>
      <c r="AZ28" s="77"/>
      <c r="BA28" s="77"/>
      <c r="BB28" s="77"/>
      <c r="BC28" s="77"/>
      <c r="BD28" s="77"/>
      <c r="BE28" s="77"/>
      <c r="BF28" s="77"/>
      <c r="BG28" s="77"/>
      <c r="BH28" s="77"/>
      <c r="BI28" s="77"/>
      <c r="BJ28" s="77"/>
    </row>
    <row r="29" spans="1:62" s="78" customFormat="1" ht="24" customHeight="1">
      <c r="A29" s="96" t="s">
        <v>646</v>
      </c>
      <c r="B29" s="97">
        <v>-17616.852999999981</v>
      </c>
      <c r="C29" s="97">
        <v>7809.4919999995909</v>
      </c>
      <c r="D29" s="97">
        <v>25426.344999999572</v>
      </c>
      <c r="E29" s="107">
        <v>-16961.466999999866</v>
      </c>
      <c r="F29" s="219">
        <v>-24770.958999999457</v>
      </c>
      <c r="G29" s="212"/>
      <c r="H29" s="53"/>
      <c r="I29" s="79"/>
      <c r="J29" s="81"/>
      <c r="K29" s="81"/>
      <c r="L29" s="81"/>
      <c r="M29" s="61"/>
      <c r="N29" s="75"/>
      <c r="O29" s="76"/>
      <c r="P29" s="77"/>
      <c r="Q29" s="77"/>
      <c r="R29" s="77"/>
      <c r="S29" s="77"/>
      <c r="T29" s="77"/>
      <c r="U29" s="77"/>
      <c r="V29" s="77"/>
      <c r="W29" s="77"/>
      <c r="X29" s="77"/>
      <c r="Y29" s="77"/>
      <c r="Z29" s="77"/>
      <c r="AA29" s="77"/>
      <c r="AB29" s="77"/>
      <c r="AC29" s="77"/>
      <c r="AD29" s="77"/>
      <c r="AE29" s="77"/>
      <c r="AF29" s="77"/>
      <c r="AG29" s="77"/>
      <c r="AH29" s="77"/>
      <c r="AI29" s="77"/>
      <c r="AJ29" s="77"/>
      <c r="AK29" s="77"/>
      <c r="AL29" s="77"/>
      <c r="AM29" s="77"/>
      <c r="AN29" s="77"/>
      <c r="AO29" s="77"/>
      <c r="AP29" s="77"/>
      <c r="AQ29" s="77"/>
      <c r="AR29" s="77"/>
      <c r="AS29" s="77"/>
      <c r="AT29" s="77"/>
      <c r="AU29" s="77"/>
      <c r="AV29" s="77"/>
      <c r="AW29" s="77"/>
      <c r="AX29" s="77"/>
      <c r="AY29" s="77"/>
      <c r="AZ29" s="77"/>
      <c r="BA29" s="77"/>
      <c r="BB29" s="77"/>
      <c r="BC29" s="77"/>
      <c r="BD29" s="77"/>
      <c r="BE29" s="77"/>
      <c r="BF29" s="77"/>
      <c r="BG29" s="77"/>
      <c r="BH29" s="77"/>
      <c r="BI29" s="77"/>
      <c r="BJ29" s="77"/>
    </row>
    <row r="30" spans="1:62" s="78" customFormat="1" ht="24" customHeight="1">
      <c r="A30" s="96" t="s">
        <v>656</v>
      </c>
      <c r="B30" s="97">
        <v>-212364.91600000043</v>
      </c>
      <c r="C30" s="97">
        <v>-98293.630059999356</v>
      </c>
      <c r="D30" s="97">
        <v>114071.28594000108</v>
      </c>
      <c r="E30" s="106">
        <v>-281452.3974193848</v>
      </c>
      <c r="F30" s="219">
        <v>-183158.76735938544</v>
      </c>
      <c r="G30" s="212"/>
      <c r="H30" s="53"/>
      <c r="I30" s="79"/>
      <c r="J30" s="81"/>
      <c r="K30" s="81"/>
      <c r="L30" s="81"/>
      <c r="M30" s="58"/>
      <c r="N30" s="58"/>
      <c r="O30" s="76"/>
      <c r="P30" s="77"/>
      <c r="Q30" s="77"/>
      <c r="R30" s="77"/>
      <c r="S30" s="77"/>
      <c r="T30" s="77"/>
      <c r="U30" s="77"/>
      <c r="V30" s="77"/>
      <c r="W30" s="77"/>
      <c r="X30" s="77"/>
      <c r="Y30" s="77"/>
      <c r="Z30" s="77"/>
      <c r="AA30" s="77"/>
      <c r="AB30" s="77"/>
      <c r="AC30" s="77"/>
      <c r="AD30" s="77"/>
      <c r="AE30" s="77"/>
      <c r="AF30" s="77"/>
      <c r="AG30" s="77"/>
      <c r="AH30" s="77"/>
      <c r="AI30" s="77"/>
      <c r="AJ30" s="77"/>
      <c r="AK30" s="77"/>
      <c r="AL30" s="77"/>
      <c r="AM30" s="77"/>
      <c r="AN30" s="77"/>
      <c r="AO30" s="77"/>
      <c r="AP30" s="77"/>
      <c r="AQ30" s="77"/>
      <c r="AR30" s="77"/>
      <c r="AS30" s="77"/>
      <c r="AT30" s="77"/>
      <c r="AU30" s="77"/>
      <c r="AV30" s="77"/>
      <c r="AW30" s="77"/>
      <c r="AX30" s="77"/>
      <c r="AY30" s="77"/>
      <c r="AZ30" s="77"/>
      <c r="BA30" s="77"/>
      <c r="BB30" s="77"/>
      <c r="BC30" s="77"/>
      <c r="BD30" s="77"/>
      <c r="BE30" s="77"/>
      <c r="BF30" s="77"/>
      <c r="BG30" s="77"/>
      <c r="BH30" s="77"/>
      <c r="BI30" s="77"/>
      <c r="BJ30" s="77"/>
    </row>
    <row r="31" spans="1:62" s="78" customFormat="1" ht="24" customHeight="1">
      <c r="A31" s="96" t="s">
        <v>504</v>
      </c>
      <c r="B31" s="97">
        <v>-7548.7000000000698</v>
      </c>
      <c r="C31" s="97">
        <v>2795.7795099999566</v>
      </c>
      <c r="D31" s="97">
        <v>10344.479510000026</v>
      </c>
      <c r="E31" s="153">
        <v>-7582.0499999999811</v>
      </c>
      <c r="F31" s="219">
        <v>-10377.829509999938</v>
      </c>
      <c r="G31" s="224"/>
      <c r="H31" s="53"/>
      <c r="I31" s="79"/>
      <c r="J31" s="81"/>
      <c r="K31" s="81"/>
      <c r="L31" s="81"/>
      <c r="M31" s="61"/>
      <c r="N31" s="75"/>
      <c r="O31" s="76"/>
      <c r="P31" s="77"/>
      <c r="Q31" s="77"/>
      <c r="R31" s="77"/>
      <c r="S31" s="77"/>
      <c r="T31" s="77"/>
      <c r="U31" s="77"/>
      <c r="V31" s="77"/>
      <c r="W31" s="77"/>
      <c r="X31" s="77"/>
      <c r="Y31" s="77"/>
      <c r="Z31" s="77"/>
      <c r="AA31" s="77"/>
      <c r="AB31" s="77"/>
      <c r="AC31" s="77"/>
      <c r="AD31" s="77"/>
      <c r="AE31" s="77"/>
      <c r="AF31" s="77"/>
      <c r="AG31" s="77"/>
      <c r="AH31" s="77"/>
      <c r="AI31" s="77"/>
      <c r="AJ31" s="77"/>
      <c r="AK31" s="77"/>
      <c r="AL31" s="77"/>
      <c r="AM31" s="77"/>
      <c r="AN31" s="77"/>
      <c r="AO31" s="77"/>
      <c r="AP31" s="77"/>
      <c r="AQ31" s="77"/>
      <c r="AR31" s="77"/>
      <c r="AS31" s="77"/>
      <c r="AT31" s="77"/>
      <c r="AU31" s="77"/>
      <c r="AV31" s="77"/>
      <c r="AW31" s="77"/>
      <c r="AX31" s="77"/>
      <c r="AY31" s="77"/>
      <c r="AZ31" s="77"/>
      <c r="BA31" s="77"/>
      <c r="BB31" s="77"/>
      <c r="BC31" s="77"/>
      <c r="BD31" s="77"/>
      <c r="BE31" s="77"/>
      <c r="BF31" s="77"/>
      <c r="BG31" s="77"/>
      <c r="BH31" s="77"/>
      <c r="BI31" s="77"/>
      <c r="BJ31" s="77"/>
    </row>
    <row r="32" spans="1:62" s="77" customFormat="1" ht="26.25" customHeight="1">
      <c r="A32" s="99" t="s">
        <v>647</v>
      </c>
      <c r="B32" s="100">
        <v>-2987324.4851099998</v>
      </c>
      <c r="C32" s="100">
        <v>-1983399.2197449999</v>
      </c>
      <c r="D32" s="100">
        <v>1003925.2653649999</v>
      </c>
      <c r="E32" s="101">
        <v>-2457732.9550393857</v>
      </c>
      <c r="F32" s="230">
        <v>-474333.73529438581</v>
      </c>
      <c r="G32" s="232"/>
      <c r="H32" s="76"/>
      <c r="I32" s="79"/>
      <c r="J32" s="81"/>
      <c r="K32" s="81"/>
      <c r="L32" s="81"/>
      <c r="M32" s="61"/>
      <c r="N32" s="75"/>
      <c r="O32" s="76"/>
    </row>
    <row r="33" spans="1:15" s="77" customFormat="1" ht="20.25" customHeight="1" thickBot="1">
      <c r="A33" s="104" t="s">
        <v>8</v>
      </c>
      <c r="B33" s="98"/>
      <c r="C33" s="98"/>
      <c r="D33" s="103" t="s">
        <v>9</v>
      </c>
      <c r="E33" s="102"/>
      <c r="F33" s="231"/>
      <c r="G33" s="149"/>
      <c r="H33" s="76"/>
      <c r="I33" s="89"/>
      <c r="J33" s="74"/>
      <c r="K33" s="74"/>
      <c r="L33" s="74"/>
      <c r="M33" s="74"/>
      <c r="N33" s="75"/>
      <c r="O33" s="76"/>
    </row>
    <row r="34" spans="1:15" ht="15.75" thickTop="1">
      <c r="A34" s="158" t="s">
        <v>21</v>
      </c>
      <c r="B34" s="84"/>
      <c r="C34" s="84"/>
      <c r="D34" s="84"/>
      <c r="E34" s="90"/>
      <c r="F34" s="84"/>
      <c r="G34" s="44"/>
      <c r="J34" s="74"/>
      <c r="K34" s="74"/>
      <c r="L34" s="74"/>
      <c r="M34" s="74"/>
      <c r="N34" s="74"/>
    </row>
    <row r="35" spans="1:15">
      <c r="A35" s="126"/>
      <c r="B35" s="85"/>
      <c r="C35" s="85"/>
      <c r="D35" s="85"/>
      <c r="E35" s="59"/>
      <c r="F35" s="85"/>
      <c r="G35" s="4"/>
      <c r="J35" s="46"/>
      <c r="K35" s="46"/>
      <c r="L35" s="46"/>
      <c r="M35" s="46"/>
      <c r="N35" s="46"/>
    </row>
    <row r="36" spans="1:15">
      <c r="A36" s="127"/>
      <c r="B36" s="85"/>
      <c r="C36" s="85"/>
      <c r="D36" s="85"/>
      <c r="E36" s="59"/>
      <c r="F36" s="85"/>
      <c r="G36" s="4"/>
      <c r="I36" s="92"/>
    </row>
    <row r="37" spans="1:15">
      <c r="B37" s="85"/>
      <c r="C37" s="85"/>
      <c r="D37" s="85"/>
      <c r="E37" s="59"/>
      <c r="F37" s="85"/>
      <c r="G37" s="4"/>
    </row>
    <row r="38" spans="1:15">
      <c r="B38" s="85"/>
      <c r="C38" s="85"/>
      <c r="D38" s="85"/>
      <c r="E38" s="59"/>
      <c r="F38" s="85"/>
    </row>
    <row r="39" spans="1:15">
      <c r="B39" s="85"/>
      <c r="C39" s="85"/>
      <c r="D39" s="85"/>
      <c r="E39" s="59"/>
      <c r="F39" s="85"/>
    </row>
    <row r="40" spans="1:15">
      <c r="A40" s="86"/>
      <c r="B40" s="85"/>
      <c r="C40" s="85"/>
      <c r="D40" s="85"/>
      <c r="E40" s="59"/>
      <c r="F40" s="85"/>
    </row>
    <row r="41" spans="1:15">
      <c r="A41" s="86"/>
      <c r="B41" s="85"/>
      <c r="C41" s="85"/>
      <c r="D41" s="85"/>
      <c r="E41" s="59"/>
      <c r="F41" s="85"/>
    </row>
    <row r="42" spans="1:15">
      <c r="B42" s="85"/>
      <c r="C42" s="85"/>
      <c r="D42" s="85"/>
      <c r="E42" s="59"/>
      <c r="F42" s="85"/>
    </row>
    <row r="43" spans="1:15">
      <c r="A43" s="86"/>
      <c r="B43" s="85"/>
      <c r="C43" s="85"/>
      <c r="D43" s="85"/>
      <c r="E43" s="59"/>
      <c r="F43" s="85"/>
    </row>
    <row r="44" spans="1:15">
      <c r="B44" s="85"/>
      <c r="C44" s="85"/>
      <c r="D44" s="85"/>
      <c r="E44" s="59"/>
      <c r="F44" s="85"/>
      <c r="I44" s="92"/>
    </row>
    <row r="45" spans="1:15">
      <c r="B45" s="85"/>
      <c r="C45" s="85"/>
      <c r="D45" s="85"/>
      <c r="E45" s="59"/>
      <c r="F45" s="85"/>
      <c r="I45" s="92"/>
    </row>
    <row r="46" spans="1:15">
      <c r="B46" s="85"/>
      <c r="C46" s="85"/>
      <c r="D46" s="85"/>
      <c r="E46" s="59"/>
      <c r="F46" s="85"/>
      <c r="I46" s="92"/>
    </row>
    <row r="47" spans="1:15">
      <c r="B47" s="85"/>
      <c r="C47" s="85"/>
      <c r="D47" s="85"/>
      <c r="E47" s="59"/>
      <c r="F47" s="85"/>
    </row>
    <row r="48" spans="1:15">
      <c r="B48" s="85"/>
      <c r="C48" s="85"/>
      <c r="D48" s="85"/>
      <c r="E48" s="59"/>
      <c r="F48" s="85"/>
    </row>
    <row r="49" spans="1:6">
      <c r="A49" s="86"/>
      <c r="B49" s="85"/>
      <c r="C49" s="85"/>
      <c r="D49" s="85"/>
      <c r="E49" s="59"/>
      <c r="F49" s="85"/>
    </row>
    <row r="50" spans="1:6">
      <c r="A50" s="86"/>
      <c r="B50" s="85"/>
      <c r="C50" s="85"/>
      <c r="D50" s="85"/>
      <c r="E50" s="59"/>
      <c r="F50" s="85"/>
    </row>
    <row r="51" spans="1:6">
      <c r="A51" s="86"/>
      <c r="B51" s="85"/>
      <c r="C51" s="85"/>
      <c r="D51" s="85"/>
      <c r="E51" s="59"/>
      <c r="F51" s="85"/>
    </row>
    <row r="52" spans="1:6">
      <c r="B52" s="85"/>
      <c r="C52" s="85"/>
      <c r="D52" s="85"/>
      <c r="E52" s="59"/>
      <c r="F52" s="85"/>
    </row>
    <row r="53" spans="1:6">
      <c r="B53" s="85"/>
      <c r="C53" s="85"/>
      <c r="D53" s="85"/>
      <c r="E53" s="59"/>
      <c r="F53" s="85"/>
    </row>
    <row r="54" spans="1:6">
      <c r="B54" s="85"/>
      <c r="C54" s="85"/>
      <c r="D54" s="85"/>
      <c r="E54" s="59"/>
      <c r="F54" s="85"/>
    </row>
    <row r="55" spans="1:6">
      <c r="B55" s="85"/>
      <c r="C55" s="85"/>
      <c r="D55" s="85"/>
      <c r="E55" s="59"/>
      <c r="F55" s="85"/>
    </row>
    <row r="56" spans="1:6">
      <c r="B56" s="85"/>
      <c r="C56" s="85"/>
      <c r="D56" s="85"/>
      <c r="E56" s="59"/>
      <c r="F56" s="85"/>
    </row>
    <row r="57" spans="1:6">
      <c r="B57" s="85"/>
      <c r="C57" s="85"/>
      <c r="D57" s="85"/>
      <c r="E57" s="59"/>
      <c r="F57" s="85"/>
    </row>
    <row r="58" spans="1:6">
      <c r="B58" s="85"/>
      <c r="C58" s="85"/>
      <c r="D58" s="85"/>
      <c r="E58" s="59"/>
      <c r="F58" s="85"/>
    </row>
    <row r="59" spans="1:6">
      <c r="B59" s="85"/>
      <c r="C59" s="85"/>
      <c r="D59" s="85"/>
      <c r="E59" s="59"/>
      <c r="F59" s="85"/>
    </row>
    <row r="60" spans="1:6">
      <c r="B60" s="85"/>
      <c r="C60" s="85"/>
      <c r="D60" s="85"/>
      <c r="E60" s="59"/>
      <c r="F60" s="85"/>
    </row>
    <row r="61" spans="1:6">
      <c r="B61" s="85"/>
      <c r="C61" s="85"/>
      <c r="D61" s="85"/>
      <c r="E61" s="59"/>
      <c r="F61" s="85"/>
    </row>
    <row r="62" spans="1:6">
      <c r="A62" s="86"/>
      <c r="B62" s="85"/>
      <c r="C62" s="85"/>
      <c r="D62" s="85"/>
      <c r="E62" s="59"/>
      <c r="F62" s="85"/>
    </row>
  </sheetData>
  <mergeCells count="1">
    <mergeCell ref="A1:F1"/>
  </mergeCells>
  <phoneticPr fontId="7" type="noConversion"/>
  <pageMargins left="0.23622047244094491" right="0.23622047244094491" top="0.74803149606299213" bottom="0.74803149606299213" header="0.31496062992125984" footer="0.31496062992125984"/>
  <pageSetup paperSize="9" scale="95" orientation="portrait" r:id="rId1"/>
  <headerFooter alignWithMargins="0">
    <oddHeader>&amp;LFachgruppe für kantonale Finanzfragen (FkF)
Groupe d'études pour les finances cantonales
&amp;CKanton VD&amp;RZürich, 11.05.2015</oddHeader>
    <oddFooter>&amp;L&amp;F / &amp;A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8">
    <pageSetUpPr fitToPage="1"/>
  </sheetPr>
  <dimension ref="A1:BJ55"/>
  <sheetViews>
    <sheetView topLeftCell="A10" zoomScaleNormal="100" workbookViewId="0">
      <selection activeCell="I5" sqref="I5"/>
    </sheetView>
  </sheetViews>
  <sheetFormatPr baseColWidth="10" defaultRowHeight="15"/>
  <cols>
    <col min="1" max="1" width="22.5703125" style="83" customWidth="1"/>
    <col min="2" max="3" width="15.28515625" style="87" customWidth="1"/>
    <col min="4" max="4" width="15.42578125" style="87" customWidth="1"/>
    <col min="5" max="5" width="15.28515625" style="87" customWidth="1"/>
    <col min="6" max="6" width="15.28515625" style="95" customWidth="1"/>
    <col min="7" max="7" width="2.140625" customWidth="1"/>
    <col min="8" max="8" width="11.42578125" style="65" customWidth="1"/>
    <col min="9" max="9" width="25.7109375" style="71" customWidth="1"/>
    <col min="10" max="10" width="14.85546875" style="71" customWidth="1"/>
    <col min="11" max="11" width="16.7109375" style="71" customWidth="1"/>
    <col min="12" max="12" width="18.7109375" style="71" customWidth="1"/>
    <col min="13" max="13" width="13.7109375" style="71" customWidth="1"/>
    <col min="14" max="14" width="13.7109375" style="71" hidden="1" customWidth="1"/>
    <col min="15" max="15" width="13.42578125" style="71" customWidth="1"/>
    <col min="16" max="62" width="11.42578125" style="52" customWidth="1"/>
  </cols>
  <sheetData>
    <row r="1" spans="1:62" s="69" customFormat="1" ht="37.5" customHeight="1" thickBot="1">
      <c r="A1" s="960" t="s">
        <v>15</v>
      </c>
      <c r="B1" s="961"/>
      <c r="C1" s="961"/>
      <c r="D1" s="961"/>
      <c r="E1" s="961"/>
      <c r="F1" s="961"/>
      <c r="G1" s="4"/>
      <c r="H1" s="66"/>
      <c r="I1" s="67"/>
      <c r="J1" s="67"/>
      <c r="K1" s="67"/>
      <c r="L1" s="67"/>
      <c r="M1" s="67"/>
      <c r="N1" s="67"/>
      <c r="O1" s="67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  <c r="AB1" s="68"/>
      <c r="AC1" s="68"/>
      <c r="AD1" s="68"/>
      <c r="AE1" s="68"/>
      <c r="AF1" s="68"/>
      <c r="AG1" s="68"/>
      <c r="AH1" s="68"/>
      <c r="AI1" s="68"/>
      <c r="AJ1" s="68"/>
      <c r="AK1" s="68"/>
      <c r="AL1" s="68"/>
      <c r="AM1" s="68"/>
      <c r="AN1" s="68"/>
      <c r="AO1" s="68"/>
      <c r="AP1" s="68"/>
      <c r="AQ1" s="68"/>
      <c r="AR1" s="68"/>
      <c r="AS1" s="68"/>
      <c r="AT1" s="68"/>
      <c r="AU1" s="68"/>
      <c r="AV1" s="68"/>
      <c r="AW1" s="68"/>
      <c r="AX1" s="68"/>
      <c r="AY1" s="68"/>
      <c r="AZ1" s="68"/>
      <c r="BA1" s="68"/>
      <c r="BB1" s="68"/>
      <c r="BC1" s="68"/>
      <c r="BD1" s="68"/>
      <c r="BE1" s="68"/>
      <c r="BF1" s="68"/>
      <c r="BG1" s="68"/>
      <c r="BH1" s="68"/>
      <c r="BI1" s="68"/>
      <c r="BJ1" s="68"/>
    </row>
    <row r="2" spans="1:62" ht="15" customHeight="1" thickTop="1">
      <c r="A2" s="129" t="s">
        <v>2</v>
      </c>
      <c r="B2" s="191" t="s">
        <v>254</v>
      </c>
      <c r="C2" s="191" t="s">
        <v>255</v>
      </c>
      <c r="D2" s="191" t="s">
        <v>648</v>
      </c>
      <c r="E2" s="191" t="s">
        <v>254</v>
      </c>
      <c r="F2" s="70" t="s">
        <v>648</v>
      </c>
      <c r="G2" s="144"/>
      <c r="I2" s="42"/>
      <c r="J2" s="42"/>
      <c r="K2" s="42"/>
      <c r="L2" s="42"/>
      <c r="M2" s="42"/>
      <c r="N2" s="42"/>
    </row>
    <row r="3" spans="1:62">
      <c r="A3" s="72" t="s">
        <v>1</v>
      </c>
      <c r="B3" s="192" t="s">
        <v>254</v>
      </c>
      <c r="C3" s="192" t="s">
        <v>487</v>
      </c>
      <c r="D3" s="193" t="s">
        <v>649</v>
      </c>
      <c r="E3" s="192" t="s">
        <v>254</v>
      </c>
      <c r="F3" s="216" t="s">
        <v>650</v>
      </c>
      <c r="G3" s="226"/>
      <c r="I3" s="42"/>
      <c r="J3" s="42"/>
      <c r="K3" s="42"/>
      <c r="L3" s="42"/>
      <c r="M3" s="42"/>
      <c r="N3" s="42"/>
    </row>
    <row r="4" spans="1:62" ht="12.75">
      <c r="A4" s="133">
        <v>0</v>
      </c>
      <c r="B4" s="194">
        <v>2014</v>
      </c>
      <c r="C4" s="194">
        <v>2014</v>
      </c>
      <c r="D4" s="195">
        <v>0</v>
      </c>
      <c r="E4" s="194">
        <v>2015</v>
      </c>
      <c r="F4" s="134">
        <v>0</v>
      </c>
      <c r="G4" s="148"/>
      <c r="I4" s="42"/>
      <c r="J4" s="42"/>
      <c r="K4" s="42"/>
      <c r="L4" s="42"/>
      <c r="M4" s="42"/>
      <c r="N4" s="42"/>
    </row>
    <row r="5" spans="1:62" s="78" customFormat="1" ht="27" customHeight="1">
      <c r="A5" s="207" t="s">
        <v>16</v>
      </c>
      <c r="B5" s="202">
        <v>0</v>
      </c>
      <c r="C5" s="203">
        <v>0</v>
      </c>
      <c r="D5" s="198">
        <v>0</v>
      </c>
      <c r="E5" s="199" t="s">
        <v>502</v>
      </c>
      <c r="F5" s="135">
        <v>0</v>
      </c>
      <c r="G5" s="227"/>
      <c r="H5" s="53"/>
      <c r="I5" s="74"/>
      <c r="J5" s="42"/>
      <c r="K5" s="74"/>
      <c r="L5" s="74"/>
      <c r="M5" s="74"/>
      <c r="N5" s="75"/>
      <c r="O5" s="76"/>
      <c r="P5" s="77"/>
      <c r="Q5" s="77"/>
      <c r="R5" s="77"/>
      <c r="S5" s="77"/>
      <c r="T5" s="77"/>
      <c r="U5" s="77"/>
      <c r="V5" s="77"/>
      <c r="W5" s="77"/>
      <c r="X5" s="77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</row>
    <row r="6" spans="1:62" s="78" customFormat="1" ht="24" customHeight="1">
      <c r="A6" s="206" t="s">
        <v>261</v>
      </c>
      <c r="B6" s="159">
        <v>0.7891349267486113</v>
      </c>
      <c r="C6" s="159">
        <v>1.1875334570516505</v>
      </c>
      <c r="D6" s="108">
        <v>0.39839853030303918</v>
      </c>
      <c r="E6" s="159">
        <v>0.54111025626557863</v>
      </c>
      <c r="F6" s="233">
        <v>-0.64642320078607185</v>
      </c>
      <c r="G6" s="223"/>
      <c r="H6" s="53"/>
      <c r="I6" s="74"/>
      <c r="J6" s="81"/>
      <c r="K6" s="81"/>
      <c r="L6" s="81"/>
      <c r="M6" s="61"/>
      <c r="N6" s="75"/>
      <c r="O6" s="76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  <c r="AD6" s="77"/>
      <c r="AE6" s="77"/>
      <c r="AF6" s="77"/>
      <c r="AG6" s="77"/>
      <c r="AH6" s="77"/>
      <c r="AI6" s="77"/>
      <c r="AJ6" s="77"/>
      <c r="AK6" s="77"/>
      <c r="AL6" s="77"/>
      <c r="AM6" s="77"/>
      <c r="AN6" s="77"/>
      <c r="AO6" s="77"/>
      <c r="AP6" s="77"/>
      <c r="AQ6" s="77"/>
      <c r="AR6" s="77"/>
      <c r="AS6" s="77"/>
      <c r="AT6" s="77"/>
      <c r="AU6" s="77"/>
      <c r="AV6" s="77"/>
      <c r="AW6" s="77"/>
      <c r="AX6" s="77"/>
      <c r="AY6" s="77"/>
      <c r="AZ6" s="77"/>
      <c r="BA6" s="77"/>
      <c r="BB6" s="77"/>
      <c r="BC6" s="77"/>
      <c r="BD6" s="77"/>
      <c r="BE6" s="77"/>
      <c r="BF6" s="77"/>
      <c r="BG6" s="77"/>
      <c r="BH6" s="77"/>
      <c r="BI6" s="77"/>
      <c r="BJ6" s="77"/>
    </row>
    <row r="7" spans="1:62" s="78" customFormat="1" ht="24" customHeight="1">
      <c r="A7" s="201" t="s">
        <v>529</v>
      </c>
      <c r="B7" s="109">
        <v>1.0941412537558635</v>
      </c>
      <c r="C7" s="109">
        <v>1.2993182625144648</v>
      </c>
      <c r="D7" s="109">
        <v>0.20517700875860134</v>
      </c>
      <c r="E7" s="110">
        <v>1.0116035058831696</v>
      </c>
      <c r="F7" s="235">
        <v>-0.2877147566312952</v>
      </c>
      <c r="G7" s="212"/>
      <c r="H7" s="53"/>
      <c r="I7" s="74"/>
      <c r="J7" s="81"/>
      <c r="K7" s="81"/>
      <c r="L7" s="81"/>
      <c r="M7" s="58"/>
      <c r="N7" s="75"/>
      <c r="O7" s="76"/>
      <c r="P7" s="77"/>
      <c r="Q7" s="77"/>
      <c r="R7" s="77"/>
      <c r="S7" s="77"/>
      <c r="T7" s="77"/>
      <c r="U7" s="77"/>
      <c r="V7" s="77"/>
      <c r="W7" s="77"/>
      <c r="X7" s="77"/>
      <c r="Y7" s="77"/>
      <c r="Z7" s="77"/>
      <c r="AA7" s="77"/>
      <c r="AB7" s="77"/>
      <c r="AC7" s="77"/>
      <c r="AD7" s="77"/>
      <c r="AE7" s="77"/>
      <c r="AF7" s="77"/>
      <c r="AG7" s="77"/>
      <c r="AH7" s="77"/>
      <c r="AI7" s="77"/>
      <c r="AJ7" s="77"/>
      <c r="AK7" s="77"/>
      <c r="AL7" s="77"/>
      <c r="AM7" s="77"/>
      <c r="AN7" s="77"/>
      <c r="AO7" s="77"/>
      <c r="AP7" s="77"/>
      <c r="AQ7" s="77"/>
      <c r="AR7" s="77"/>
      <c r="AS7" s="77"/>
      <c r="AT7" s="77"/>
      <c r="AU7" s="77"/>
      <c r="AV7" s="77"/>
      <c r="AW7" s="77"/>
      <c r="AX7" s="77"/>
      <c r="AY7" s="77"/>
      <c r="AZ7" s="77"/>
      <c r="BA7" s="77"/>
      <c r="BB7" s="77"/>
      <c r="BC7" s="77"/>
      <c r="BD7" s="77"/>
      <c r="BE7" s="77"/>
      <c r="BF7" s="77"/>
      <c r="BG7" s="77"/>
      <c r="BH7" s="77"/>
      <c r="BI7" s="77"/>
      <c r="BJ7" s="77"/>
    </row>
    <row r="8" spans="1:62" s="78" customFormat="1" ht="24" customHeight="1">
      <c r="A8" s="201" t="s">
        <v>506</v>
      </c>
      <c r="B8" s="109">
        <v>1.0630665969510154</v>
      </c>
      <c r="C8" s="109">
        <v>1.2485378534837985</v>
      </c>
      <c r="D8" s="109">
        <v>0.18547125653278318</v>
      </c>
      <c r="E8" s="160">
        <v>0.85328189796537657</v>
      </c>
      <c r="F8" s="235">
        <v>-0.39525595551842196</v>
      </c>
      <c r="G8" s="212"/>
      <c r="H8" s="53"/>
      <c r="I8" s="74"/>
      <c r="J8" s="81"/>
      <c r="K8" s="81"/>
      <c r="L8" s="81"/>
      <c r="M8" s="61"/>
      <c r="N8" s="75"/>
      <c r="O8" s="76"/>
      <c r="P8" s="77"/>
      <c r="Q8" s="77"/>
      <c r="R8" s="77"/>
      <c r="S8" s="77"/>
      <c r="T8" s="77"/>
      <c r="U8" s="77"/>
      <c r="V8" s="77"/>
      <c r="W8" s="77"/>
      <c r="X8" s="77"/>
      <c r="Y8" s="77"/>
      <c r="Z8" s="77"/>
      <c r="AA8" s="77"/>
      <c r="AB8" s="77"/>
      <c r="AC8" s="77"/>
      <c r="AD8" s="77"/>
      <c r="AE8" s="77"/>
      <c r="AF8" s="77"/>
      <c r="AG8" s="77"/>
      <c r="AH8" s="77"/>
      <c r="AI8" s="77"/>
      <c r="AJ8" s="77"/>
      <c r="AK8" s="77"/>
      <c r="AL8" s="77"/>
      <c r="AM8" s="77"/>
      <c r="AN8" s="77"/>
      <c r="AO8" s="77"/>
      <c r="AP8" s="77"/>
      <c r="AQ8" s="77"/>
      <c r="AR8" s="77"/>
      <c r="AS8" s="77"/>
      <c r="AT8" s="77"/>
      <c r="AU8" s="77"/>
      <c r="AV8" s="77"/>
      <c r="AW8" s="77"/>
      <c r="AX8" s="77"/>
      <c r="AY8" s="77"/>
      <c r="AZ8" s="77"/>
      <c r="BA8" s="77"/>
      <c r="BB8" s="77"/>
      <c r="BC8" s="77"/>
      <c r="BD8" s="77"/>
      <c r="BE8" s="77"/>
      <c r="BF8" s="77"/>
      <c r="BG8" s="77"/>
      <c r="BH8" s="77"/>
      <c r="BI8" s="77"/>
      <c r="BJ8" s="77"/>
    </row>
    <row r="9" spans="1:62" s="78" customFormat="1" ht="24" customHeight="1">
      <c r="A9" s="201" t="s">
        <v>522</v>
      </c>
      <c r="B9" s="109">
        <v>0.78647396501655009</v>
      </c>
      <c r="C9" s="109">
        <v>1.0373456042625333</v>
      </c>
      <c r="D9" s="109">
        <v>0.25087163924598321</v>
      </c>
      <c r="E9" s="160">
        <v>0.75221526149693885</v>
      </c>
      <c r="F9" s="235">
        <v>-0.28513034276559446</v>
      </c>
      <c r="G9" s="212"/>
      <c r="H9" s="53"/>
      <c r="I9" s="74"/>
      <c r="J9" s="81"/>
      <c r="K9" s="81"/>
      <c r="L9" s="81"/>
      <c r="M9" s="61"/>
      <c r="N9" s="75"/>
      <c r="O9" s="76"/>
      <c r="P9" s="77"/>
      <c r="Q9" s="77"/>
      <c r="R9" s="77"/>
      <c r="S9" s="77"/>
      <c r="T9" s="77"/>
      <c r="U9" s="77"/>
      <c r="V9" s="77"/>
      <c r="W9" s="77"/>
      <c r="X9" s="77"/>
      <c r="Y9" s="77"/>
      <c r="Z9" s="77"/>
      <c r="AA9" s="77"/>
      <c r="AB9" s="77"/>
      <c r="AC9" s="77"/>
      <c r="AD9" s="77"/>
      <c r="AE9" s="77"/>
      <c r="AF9" s="77"/>
      <c r="AG9" s="77"/>
      <c r="AH9" s="77"/>
      <c r="AI9" s="77"/>
      <c r="AJ9" s="77"/>
      <c r="AK9" s="77"/>
      <c r="AL9" s="77"/>
      <c r="AM9" s="77"/>
      <c r="AN9" s="77"/>
      <c r="AO9" s="77"/>
      <c r="AP9" s="77"/>
      <c r="AQ9" s="77"/>
      <c r="AR9" s="77"/>
      <c r="AS9" s="77"/>
      <c r="AT9" s="77"/>
      <c r="AU9" s="77"/>
      <c r="AV9" s="77"/>
      <c r="AW9" s="77"/>
      <c r="AX9" s="77"/>
      <c r="AY9" s="77"/>
      <c r="AZ9" s="77"/>
      <c r="BA9" s="77"/>
      <c r="BB9" s="77"/>
      <c r="BC9" s="77"/>
      <c r="BD9" s="77"/>
      <c r="BE9" s="77"/>
      <c r="BF9" s="77"/>
      <c r="BG9" s="77"/>
      <c r="BH9" s="77"/>
      <c r="BI9" s="77"/>
      <c r="BJ9" s="77"/>
    </row>
    <row r="10" spans="1:62" s="78" customFormat="1" ht="24" customHeight="1">
      <c r="A10" s="201" t="s">
        <v>600</v>
      </c>
      <c r="B10" s="109" t="s">
        <v>601</v>
      </c>
      <c r="C10" s="109" t="s">
        <v>601</v>
      </c>
      <c r="D10" s="110" t="s">
        <v>663</v>
      </c>
      <c r="E10" s="109">
        <v>0.12837539664194003</v>
      </c>
      <c r="F10" s="236" t="s">
        <v>664</v>
      </c>
      <c r="G10" s="212"/>
      <c r="H10" s="53"/>
      <c r="I10" s="74"/>
      <c r="J10" s="81"/>
      <c r="K10" s="81"/>
      <c r="L10" s="81"/>
      <c r="M10" s="61"/>
      <c r="N10" s="75"/>
      <c r="O10" s="76"/>
      <c r="P10" s="77"/>
      <c r="Q10" s="77"/>
      <c r="R10" s="77"/>
      <c r="S10" s="77"/>
      <c r="T10" s="77"/>
      <c r="U10" s="77"/>
      <c r="V10" s="77"/>
      <c r="W10" s="77"/>
      <c r="X10" s="77"/>
      <c r="Y10" s="77"/>
      <c r="Z10" s="77"/>
      <c r="AA10" s="77"/>
      <c r="AB10" s="77"/>
      <c r="AC10" s="77"/>
      <c r="AD10" s="77"/>
      <c r="AE10" s="77"/>
      <c r="AF10" s="77"/>
      <c r="AG10" s="77"/>
      <c r="AH10" s="77"/>
      <c r="AI10" s="77"/>
      <c r="AJ10" s="77"/>
      <c r="AK10" s="77"/>
      <c r="AL10" s="77"/>
      <c r="AM10" s="77"/>
      <c r="AN10" s="77"/>
      <c r="AO10" s="77"/>
      <c r="AP10" s="77"/>
      <c r="AQ10" s="77"/>
      <c r="AR10" s="77"/>
      <c r="AS10" s="77"/>
      <c r="AT10" s="77"/>
      <c r="AU10" s="77"/>
      <c r="AV10" s="77"/>
      <c r="AW10" s="77"/>
      <c r="AX10" s="77"/>
      <c r="AY10" s="77"/>
      <c r="AZ10" s="77"/>
      <c r="BA10" s="77"/>
      <c r="BB10" s="77"/>
      <c r="BC10" s="77"/>
      <c r="BD10" s="77"/>
      <c r="BE10" s="77"/>
      <c r="BF10" s="77"/>
      <c r="BG10" s="77"/>
      <c r="BH10" s="77"/>
      <c r="BI10" s="77"/>
      <c r="BJ10" s="77"/>
    </row>
    <row r="11" spans="1:62" s="78" customFormat="1" ht="24" customHeight="1">
      <c r="A11" s="201" t="s">
        <v>509</v>
      </c>
      <c r="B11" s="109">
        <v>7.1578947368421048E-2</v>
      </c>
      <c r="C11" s="109">
        <v>6.4225421033315661E-2</v>
      </c>
      <c r="D11" s="109">
        <v>-7.353526335105387E-3</v>
      </c>
      <c r="E11" s="109" t="s">
        <v>601</v>
      </c>
      <c r="F11" s="235" t="s">
        <v>664</v>
      </c>
      <c r="G11" s="212"/>
      <c r="H11" s="53"/>
      <c r="I11" s="74"/>
      <c r="J11" s="81"/>
      <c r="K11" s="81"/>
      <c r="L11" s="81"/>
      <c r="M11" s="61"/>
      <c r="N11" s="75"/>
      <c r="O11" s="76"/>
      <c r="P11" s="77"/>
      <c r="Q11" s="77"/>
      <c r="R11" s="77"/>
      <c r="S11" s="77"/>
      <c r="T11" s="77"/>
      <c r="U11" s="77"/>
      <c r="V11" s="77"/>
      <c r="W11" s="77"/>
      <c r="X11" s="77"/>
      <c r="Y11" s="77"/>
      <c r="Z11" s="77"/>
      <c r="AA11" s="77"/>
      <c r="AB11" s="77"/>
      <c r="AC11" s="77"/>
      <c r="AD11" s="77"/>
      <c r="AE11" s="77"/>
      <c r="AF11" s="77"/>
      <c r="AG11" s="77"/>
      <c r="AH11" s="77"/>
      <c r="AI11" s="77"/>
      <c r="AJ11" s="77"/>
      <c r="AK11" s="77"/>
      <c r="AL11" s="77"/>
      <c r="AM11" s="77"/>
      <c r="AN11" s="77"/>
      <c r="AO11" s="77"/>
      <c r="AP11" s="77"/>
      <c r="AQ11" s="77"/>
      <c r="AR11" s="77"/>
      <c r="AS11" s="77"/>
      <c r="AT11" s="77"/>
      <c r="AU11" s="77"/>
      <c r="AV11" s="77"/>
      <c r="AW11" s="77"/>
      <c r="AX11" s="77"/>
      <c r="AY11" s="77"/>
      <c r="AZ11" s="77"/>
      <c r="BA11" s="77"/>
      <c r="BB11" s="77"/>
      <c r="BC11" s="77"/>
      <c r="BD11" s="77"/>
      <c r="BE11" s="77"/>
      <c r="BF11" s="77"/>
      <c r="BG11" s="77"/>
      <c r="BH11" s="77"/>
      <c r="BI11" s="77"/>
      <c r="BJ11" s="77"/>
    </row>
    <row r="12" spans="1:62" s="78" customFormat="1" ht="24" customHeight="1">
      <c r="A12" s="201" t="s">
        <v>511</v>
      </c>
      <c r="B12" s="160">
        <v>0.84184858586945521</v>
      </c>
      <c r="C12" s="160">
        <v>1.2610530205061914</v>
      </c>
      <c r="D12" s="109">
        <v>0.41920443463673618</v>
      </c>
      <c r="E12" s="160">
        <v>8.1074632563466309E-2</v>
      </c>
      <c r="F12" s="235">
        <v>-1.179978387942725</v>
      </c>
      <c r="G12" s="212"/>
      <c r="H12" s="53"/>
      <c r="I12" s="74"/>
      <c r="J12" s="81"/>
      <c r="K12" s="81"/>
      <c r="L12" s="81"/>
      <c r="M12" s="61"/>
      <c r="N12" s="75"/>
      <c r="O12" s="76"/>
      <c r="P12" s="77"/>
      <c r="Q12" s="77"/>
      <c r="R12" s="77"/>
      <c r="S12" s="77"/>
      <c r="T12" s="77"/>
      <c r="U12" s="77"/>
      <c r="V12" s="77"/>
      <c r="W12" s="77"/>
      <c r="X12" s="77"/>
      <c r="Y12" s="77"/>
      <c r="Z12" s="77"/>
      <c r="AA12" s="77"/>
      <c r="AB12" s="77"/>
      <c r="AC12" s="77"/>
      <c r="AD12" s="77"/>
      <c r="AE12" s="77"/>
      <c r="AF12" s="77"/>
      <c r="AG12" s="77"/>
      <c r="AH12" s="77"/>
      <c r="AI12" s="77"/>
      <c r="AJ12" s="77"/>
      <c r="AK12" s="77"/>
      <c r="AL12" s="77"/>
      <c r="AM12" s="77"/>
      <c r="AN12" s="77"/>
      <c r="AO12" s="77"/>
      <c r="AP12" s="77"/>
      <c r="AQ12" s="77"/>
      <c r="AR12" s="77"/>
      <c r="AS12" s="77"/>
      <c r="AT12" s="77"/>
      <c r="AU12" s="77"/>
      <c r="AV12" s="77"/>
      <c r="AW12" s="77"/>
      <c r="AX12" s="77"/>
      <c r="AY12" s="77"/>
      <c r="AZ12" s="77"/>
      <c r="BA12" s="77"/>
      <c r="BB12" s="77"/>
      <c r="BC12" s="77"/>
      <c r="BD12" s="77"/>
      <c r="BE12" s="77"/>
      <c r="BF12" s="77"/>
      <c r="BG12" s="77"/>
      <c r="BH12" s="77"/>
      <c r="BI12" s="77"/>
      <c r="BJ12" s="77"/>
    </row>
    <row r="13" spans="1:62" s="78" customFormat="1" ht="24" customHeight="1">
      <c r="A13" s="201" t="s">
        <v>495</v>
      </c>
      <c r="B13" s="160">
        <v>0.17400791195089374</v>
      </c>
      <c r="C13" s="160">
        <v>1.5841616349280074</v>
      </c>
      <c r="D13" s="110">
        <v>1.4101537229771137</v>
      </c>
      <c r="E13" s="160">
        <v>0.4873291097032344</v>
      </c>
      <c r="F13" s="236">
        <v>-1.096832525224773</v>
      </c>
      <c r="G13" s="212"/>
      <c r="H13" s="53"/>
      <c r="I13" s="74"/>
      <c r="J13" s="81"/>
      <c r="K13" s="81"/>
      <c r="L13" s="81"/>
      <c r="M13" s="61"/>
      <c r="N13" s="75"/>
      <c r="O13" s="76"/>
      <c r="P13" s="77"/>
      <c r="Q13" s="77"/>
      <c r="R13" s="77"/>
      <c r="S13" s="77"/>
      <c r="T13" s="77"/>
      <c r="U13" s="77"/>
      <c r="V13" s="77"/>
      <c r="W13" s="77"/>
      <c r="X13" s="77"/>
      <c r="Y13" s="77"/>
      <c r="Z13" s="77"/>
      <c r="AA13" s="77"/>
      <c r="AB13" s="77"/>
      <c r="AC13" s="77"/>
      <c r="AD13" s="77"/>
      <c r="AE13" s="77"/>
      <c r="AF13" s="77"/>
      <c r="AG13" s="77"/>
      <c r="AH13" s="77"/>
      <c r="AI13" s="77"/>
      <c r="AJ13" s="77"/>
      <c r="AK13" s="77"/>
      <c r="AL13" s="77"/>
      <c r="AM13" s="77"/>
      <c r="AN13" s="77"/>
      <c r="AO13" s="77"/>
      <c r="AP13" s="77"/>
      <c r="AQ13" s="77"/>
      <c r="AR13" s="77"/>
      <c r="AS13" s="77"/>
      <c r="AT13" s="77"/>
      <c r="AU13" s="77"/>
      <c r="AV13" s="77"/>
      <c r="AW13" s="77"/>
      <c r="AX13" s="77"/>
      <c r="AY13" s="77"/>
      <c r="AZ13" s="77"/>
      <c r="BA13" s="77"/>
      <c r="BB13" s="77"/>
      <c r="BC13" s="77"/>
      <c r="BD13" s="77"/>
      <c r="BE13" s="77"/>
      <c r="BF13" s="77"/>
      <c r="BG13" s="77"/>
      <c r="BH13" s="77"/>
      <c r="BI13" s="77"/>
      <c r="BJ13" s="77"/>
    </row>
    <row r="14" spans="1:62" s="78" customFormat="1" ht="24" customHeight="1">
      <c r="A14" s="201" t="s">
        <v>526</v>
      </c>
      <c r="B14" s="109">
        <v>0.12730854348242016</v>
      </c>
      <c r="C14" s="109" t="s">
        <v>601</v>
      </c>
      <c r="D14" s="109" t="s">
        <v>663</v>
      </c>
      <c r="E14" s="160" t="s">
        <v>601</v>
      </c>
      <c r="F14" s="235" t="s">
        <v>664</v>
      </c>
      <c r="G14" s="212"/>
      <c r="H14" s="53"/>
      <c r="I14" s="74"/>
      <c r="J14" s="81"/>
      <c r="K14" s="81"/>
      <c r="L14" s="81"/>
      <c r="M14" s="61"/>
      <c r="N14" s="75"/>
      <c r="O14" s="76"/>
      <c r="P14" s="77"/>
      <c r="Q14" s="77"/>
      <c r="R14" s="77"/>
      <c r="S14" s="77"/>
      <c r="T14" s="77"/>
      <c r="U14" s="77"/>
      <c r="V14" s="77"/>
      <c r="W14" s="77"/>
      <c r="X14" s="77"/>
      <c r="Y14" s="77"/>
      <c r="Z14" s="77"/>
      <c r="AA14" s="77"/>
      <c r="AB14" s="77"/>
      <c r="AC14" s="77"/>
      <c r="AD14" s="77"/>
      <c r="AE14" s="77"/>
      <c r="AF14" s="77"/>
      <c r="AG14" s="77"/>
      <c r="AH14" s="77"/>
      <c r="AI14" s="77"/>
      <c r="AJ14" s="77"/>
      <c r="AK14" s="77"/>
      <c r="AL14" s="77"/>
      <c r="AM14" s="77"/>
      <c r="AN14" s="77"/>
      <c r="AO14" s="77"/>
      <c r="AP14" s="77"/>
      <c r="AQ14" s="77"/>
      <c r="AR14" s="77"/>
      <c r="AS14" s="77"/>
      <c r="AT14" s="77"/>
      <c r="AU14" s="77"/>
      <c r="AV14" s="77"/>
      <c r="AW14" s="77"/>
      <c r="AX14" s="77"/>
      <c r="AY14" s="77"/>
      <c r="AZ14" s="77"/>
      <c r="BA14" s="77"/>
      <c r="BB14" s="77"/>
      <c r="BC14" s="77"/>
      <c r="BD14" s="77"/>
      <c r="BE14" s="77"/>
      <c r="BF14" s="77"/>
      <c r="BG14" s="77"/>
      <c r="BH14" s="77"/>
      <c r="BI14" s="77"/>
      <c r="BJ14" s="77"/>
    </row>
    <row r="15" spans="1:62" s="78" customFormat="1" ht="24" customHeight="1">
      <c r="A15" s="201" t="s">
        <v>488</v>
      </c>
      <c r="B15" s="160">
        <v>0.88005739278708528</v>
      </c>
      <c r="C15" s="160">
        <v>0.99275263579227058</v>
      </c>
      <c r="D15" s="109">
        <v>0.1126952430051853</v>
      </c>
      <c r="E15" s="160">
        <v>0.87603234563290866</v>
      </c>
      <c r="F15" s="235">
        <v>-0.11672029015936192</v>
      </c>
      <c r="G15" s="212"/>
      <c r="H15" s="53"/>
      <c r="I15" s="74"/>
      <c r="J15" s="81"/>
      <c r="K15" s="81"/>
      <c r="L15" s="81"/>
      <c r="M15" s="61"/>
      <c r="N15" s="75"/>
      <c r="O15" s="76"/>
      <c r="P15" s="77"/>
      <c r="Q15" s="77"/>
      <c r="R15" s="77"/>
      <c r="S15" s="77"/>
      <c r="T15" s="77"/>
      <c r="U15" s="77"/>
      <c r="V15" s="77"/>
      <c r="W15" s="77"/>
      <c r="X15" s="77"/>
      <c r="Y15" s="77"/>
      <c r="Z15" s="77"/>
      <c r="AA15" s="77"/>
      <c r="AB15" s="77"/>
      <c r="AC15" s="77"/>
      <c r="AD15" s="77"/>
      <c r="AE15" s="77"/>
      <c r="AF15" s="77"/>
      <c r="AG15" s="77"/>
      <c r="AH15" s="77"/>
      <c r="AI15" s="77"/>
      <c r="AJ15" s="77"/>
      <c r="AK15" s="77"/>
      <c r="AL15" s="77"/>
      <c r="AM15" s="77"/>
      <c r="AN15" s="77"/>
      <c r="AO15" s="77"/>
      <c r="AP15" s="77"/>
      <c r="AQ15" s="77"/>
      <c r="AR15" s="77"/>
      <c r="AS15" s="77"/>
      <c r="AT15" s="77"/>
      <c r="AU15" s="77"/>
      <c r="AV15" s="77"/>
      <c r="AW15" s="77"/>
      <c r="AX15" s="77"/>
      <c r="AY15" s="77"/>
      <c r="AZ15" s="77"/>
      <c r="BA15" s="77"/>
      <c r="BB15" s="77"/>
      <c r="BC15" s="77"/>
      <c r="BD15" s="77"/>
      <c r="BE15" s="77"/>
      <c r="BF15" s="77"/>
      <c r="BG15" s="77"/>
      <c r="BH15" s="77"/>
      <c r="BI15" s="77"/>
      <c r="BJ15" s="77"/>
    </row>
    <row r="16" spans="1:62" s="78" customFormat="1" ht="24" customHeight="1">
      <c r="A16" s="201" t="s">
        <v>515</v>
      </c>
      <c r="B16" s="109" t="s">
        <v>601</v>
      </c>
      <c r="C16" s="109" t="s">
        <v>601</v>
      </c>
      <c r="D16" s="109" t="s">
        <v>663</v>
      </c>
      <c r="E16" s="161" t="s">
        <v>601</v>
      </c>
      <c r="F16" s="235" t="s">
        <v>664</v>
      </c>
      <c r="G16" s="212"/>
      <c r="H16" s="53"/>
      <c r="I16" s="74"/>
      <c r="J16" s="81"/>
      <c r="K16" s="81"/>
      <c r="L16" s="81"/>
      <c r="M16" s="58"/>
      <c r="N16" s="75"/>
      <c r="O16" s="76"/>
      <c r="P16" s="77"/>
      <c r="Q16" s="77"/>
      <c r="R16" s="77"/>
      <c r="S16" s="77"/>
      <c r="T16" s="77"/>
      <c r="U16" s="77"/>
      <c r="V16" s="77"/>
      <c r="W16" s="77"/>
      <c r="X16" s="77"/>
      <c r="Y16" s="77"/>
      <c r="Z16" s="77"/>
      <c r="AA16" s="77"/>
      <c r="AB16" s="77"/>
      <c r="AC16" s="77"/>
      <c r="AD16" s="77"/>
      <c r="AE16" s="77"/>
      <c r="AF16" s="77"/>
      <c r="AG16" s="77"/>
      <c r="AH16" s="77"/>
      <c r="AI16" s="77"/>
      <c r="AJ16" s="77"/>
      <c r="AK16" s="77"/>
      <c r="AL16" s="77"/>
      <c r="AM16" s="77"/>
      <c r="AN16" s="77"/>
      <c r="AO16" s="77"/>
      <c r="AP16" s="77"/>
      <c r="AQ16" s="77"/>
      <c r="AR16" s="77"/>
      <c r="AS16" s="77"/>
      <c r="AT16" s="77"/>
      <c r="AU16" s="77"/>
      <c r="AV16" s="77"/>
      <c r="AW16" s="77"/>
      <c r="AX16" s="77"/>
      <c r="AY16" s="77"/>
      <c r="AZ16" s="77"/>
      <c r="BA16" s="77"/>
      <c r="BB16" s="77"/>
      <c r="BC16" s="77"/>
      <c r="BD16" s="77"/>
      <c r="BE16" s="77"/>
      <c r="BF16" s="77"/>
      <c r="BG16" s="77"/>
      <c r="BH16" s="77"/>
      <c r="BI16" s="77"/>
      <c r="BJ16" s="77"/>
    </row>
    <row r="17" spans="1:62" s="78" customFormat="1" ht="24" customHeight="1">
      <c r="A17" s="201" t="s">
        <v>653</v>
      </c>
      <c r="B17" s="109">
        <v>0.37743561080295707</v>
      </c>
      <c r="C17" s="109">
        <v>1.3185389072217804</v>
      </c>
      <c r="D17" s="109">
        <v>0.94110329641882329</v>
      </c>
      <c r="E17" s="110">
        <v>0.45837012436015501</v>
      </c>
      <c r="F17" s="235">
        <v>-0.86016878286162535</v>
      </c>
      <c r="G17" s="212"/>
      <c r="H17" s="53"/>
      <c r="I17" s="74"/>
      <c r="J17" s="81"/>
      <c r="K17" s="81"/>
      <c r="L17" s="81"/>
      <c r="M17" s="58"/>
      <c r="N17" s="75"/>
      <c r="O17" s="76"/>
      <c r="P17" s="77"/>
      <c r="Q17" s="77"/>
      <c r="R17" s="77"/>
      <c r="S17" s="77"/>
      <c r="T17" s="77"/>
      <c r="U17" s="77"/>
      <c r="V17" s="77"/>
      <c r="W17" s="77"/>
      <c r="X17" s="77"/>
      <c r="Y17" s="77"/>
      <c r="Z17" s="77"/>
      <c r="AA17" s="77"/>
      <c r="AB17" s="77"/>
      <c r="AC17" s="77"/>
      <c r="AD17" s="77"/>
      <c r="AE17" s="77"/>
      <c r="AF17" s="77"/>
      <c r="AG17" s="77"/>
      <c r="AH17" s="77"/>
      <c r="AI17" s="77"/>
      <c r="AJ17" s="77"/>
      <c r="AK17" s="77"/>
      <c r="AL17" s="77"/>
      <c r="AM17" s="77"/>
      <c r="AN17" s="77"/>
      <c r="AO17" s="77"/>
      <c r="AP17" s="77"/>
      <c r="AQ17" s="77"/>
      <c r="AR17" s="77"/>
      <c r="AS17" s="77"/>
      <c r="AT17" s="77"/>
      <c r="AU17" s="77"/>
      <c r="AV17" s="77"/>
      <c r="AW17" s="77"/>
      <c r="AX17" s="77"/>
      <c r="AY17" s="77"/>
      <c r="AZ17" s="77"/>
      <c r="BA17" s="77"/>
      <c r="BB17" s="77"/>
      <c r="BC17" s="77"/>
      <c r="BD17" s="77"/>
      <c r="BE17" s="77"/>
      <c r="BF17" s="77"/>
      <c r="BG17" s="77"/>
      <c r="BH17" s="77"/>
      <c r="BI17" s="77"/>
      <c r="BJ17" s="77"/>
    </row>
    <row r="18" spans="1:62" s="78" customFormat="1" ht="24" customHeight="1">
      <c r="A18" s="201" t="s">
        <v>654</v>
      </c>
      <c r="B18" s="160" t="s">
        <v>601</v>
      </c>
      <c r="C18" s="160" t="s">
        <v>601</v>
      </c>
      <c r="D18" s="109" t="s">
        <v>663</v>
      </c>
      <c r="E18" s="160">
        <v>0.12476976537878955</v>
      </c>
      <c r="F18" s="235" t="s">
        <v>664</v>
      </c>
      <c r="G18" s="212"/>
      <c r="H18" s="53"/>
      <c r="I18" s="74"/>
      <c r="J18" s="81"/>
      <c r="K18" s="81"/>
      <c r="L18" s="81"/>
      <c r="M18" s="61"/>
      <c r="N18" s="75"/>
      <c r="O18" s="76"/>
      <c r="P18" s="77"/>
      <c r="Q18" s="77"/>
      <c r="R18" s="77"/>
      <c r="S18" s="77"/>
      <c r="T18" s="77"/>
      <c r="U18" s="77"/>
      <c r="V18" s="77"/>
      <c r="W18" s="77"/>
      <c r="X18" s="77"/>
      <c r="Y18" s="77"/>
      <c r="Z18" s="77"/>
      <c r="AA18" s="77"/>
      <c r="AB18" s="77"/>
      <c r="AC18" s="77"/>
      <c r="AD18" s="77"/>
      <c r="AE18" s="77"/>
      <c r="AF18" s="77"/>
      <c r="AG18" s="77"/>
      <c r="AH18" s="77"/>
      <c r="AI18" s="77"/>
      <c r="AJ18" s="77"/>
      <c r="AK18" s="77"/>
      <c r="AL18" s="77"/>
      <c r="AM18" s="77"/>
      <c r="AN18" s="77"/>
      <c r="AO18" s="77"/>
      <c r="AP18" s="77"/>
      <c r="AQ18" s="77"/>
      <c r="AR18" s="77"/>
      <c r="AS18" s="77"/>
      <c r="AT18" s="77"/>
      <c r="AU18" s="77"/>
      <c r="AV18" s="77"/>
      <c r="AW18" s="77"/>
      <c r="AX18" s="77"/>
      <c r="AY18" s="77"/>
      <c r="AZ18" s="77"/>
      <c r="BA18" s="77"/>
      <c r="BB18" s="77"/>
      <c r="BC18" s="77"/>
      <c r="BD18" s="77"/>
      <c r="BE18" s="77"/>
      <c r="BF18" s="77"/>
      <c r="BG18" s="77"/>
      <c r="BH18" s="77"/>
      <c r="BI18" s="77"/>
      <c r="BJ18" s="77"/>
    </row>
    <row r="19" spans="1:62" s="78" customFormat="1" ht="24" customHeight="1">
      <c r="A19" s="96" t="s">
        <v>602</v>
      </c>
      <c r="B19" s="109" t="s">
        <v>601</v>
      </c>
      <c r="C19" s="109" t="s">
        <v>601</v>
      </c>
      <c r="D19" s="109" t="s">
        <v>663</v>
      </c>
      <c r="E19" s="109" t="s">
        <v>601</v>
      </c>
      <c r="F19" s="237" t="s">
        <v>664</v>
      </c>
      <c r="G19" s="212"/>
      <c r="H19" s="53"/>
      <c r="I19" s="74"/>
      <c r="J19" s="81"/>
      <c r="K19" s="81"/>
      <c r="L19" s="81"/>
      <c r="M19" s="61"/>
      <c r="N19" s="75"/>
      <c r="O19" s="76"/>
      <c r="P19" s="77"/>
      <c r="Q19" s="77"/>
      <c r="R19" s="77"/>
      <c r="S19" s="77"/>
      <c r="T19" s="77"/>
      <c r="U19" s="77"/>
      <c r="V19" s="77"/>
      <c r="W19" s="77"/>
      <c r="X19" s="77"/>
      <c r="Y19" s="77"/>
      <c r="Z19" s="77"/>
      <c r="AA19" s="77"/>
      <c r="AB19" s="77"/>
      <c r="AC19" s="77"/>
      <c r="AD19" s="77"/>
      <c r="AE19" s="77"/>
      <c r="AF19" s="77"/>
      <c r="AG19" s="77"/>
      <c r="AH19" s="77"/>
      <c r="AI19" s="77"/>
      <c r="AJ19" s="77"/>
      <c r="AK19" s="77"/>
      <c r="AL19" s="77"/>
      <c r="AM19" s="77"/>
      <c r="AN19" s="77"/>
      <c r="AO19" s="77"/>
      <c r="AP19" s="77"/>
      <c r="AQ19" s="77"/>
      <c r="AR19" s="77"/>
      <c r="AS19" s="77"/>
      <c r="AT19" s="77"/>
      <c r="AU19" s="77"/>
      <c r="AV19" s="77"/>
      <c r="AW19" s="77"/>
      <c r="AX19" s="77"/>
      <c r="AY19" s="77"/>
      <c r="AZ19" s="77"/>
      <c r="BA19" s="77"/>
      <c r="BB19" s="77"/>
      <c r="BC19" s="77"/>
      <c r="BD19" s="77"/>
      <c r="BE19" s="77"/>
      <c r="BF19" s="77"/>
      <c r="BG19" s="77"/>
      <c r="BH19" s="77"/>
      <c r="BI19" s="77"/>
      <c r="BJ19" s="77"/>
    </row>
    <row r="20" spans="1:62" s="78" customFormat="1" ht="24" customHeight="1">
      <c r="A20" s="96" t="s">
        <v>655</v>
      </c>
      <c r="B20" s="109" t="s">
        <v>601</v>
      </c>
      <c r="C20" s="109" t="s">
        <v>601</v>
      </c>
      <c r="D20" s="110" t="s">
        <v>663</v>
      </c>
      <c r="E20" s="109">
        <v>0.58481524569275933</v>
      </c>
      <c r="F20" s="237" t="s">
        <v>664</v>
      </c>
      <c r="G20" s="212"/>
      <c r="H20" s="53"/>
      <c r="I20" s="74"/>
      <c r="J20" s="81"/>
      <c r="K20" s="81"/>
      <c r="L20" s="81"/>
      <c r="M20" s="61"/>
      <c r="N20" s="75"/>
      <c r="O20" s="76"/>
      <c r="P20" s="77"/>
      <c r="Q20" s="77"/>
      <c r="R20" s="77"/>
      <c r="S20" s="77"/>
      <c r="T20" s="77"/>
      <c r="U20" s="77"/>
      <c r="V20" s="77"/>
      <c r="W20" s="77"/>
      <c r="X20" s="77"/>
      <c r="Y20" s="77"/>
      <c r="Z20" s="77"/>
      <c r="AA20" s="77"/>
      <c r="AB20" s="77"/>
      <c r="AC20" s="77"/>
      <c r="AD20" s="77"/>
      <c r="AE20" s="77"/>
      <c r="AF20" s="77"/>
      <c r="AG20" s="77"/>
      <c r="AH20" s="77"/>
      <c r="AI20" s="77"/>
      <c r="AJ20" s="77"/>
      <c r="AK20" s="77"/>
      <c r="AL20" s="77"/>
      <c r="AM20" s="77"/>
      <c r="AN20" s="77"/>
      <c r="AO20" s="77"/>
      <c r="AP20" s="77"/>
      <c r="AQ20" s="77"/>
      <c r="AR20" s="77"/>
      <c r="AS20" s="77"/>
      <c r="AT20" s="77"/>
      <c r="AU20" s="77"/>
      <c r="AV20" s="77"/>
      <c r="AW20" s="77"/>
      <c r="AX20" s="77"/>
      <c r="AY20" s="77"/>
      <c r="AZ20" s="77"/>
      <c r="BA20" s="77"/>
      <c r="BB20" s="77"/>
      <c r="BC20" s="77"/>
      <c r="BD20" s="77"/>
      <c r="BE20" s="77"/>
      <c r="BF20" s="77"/>
      <c r="BG20" s="77"/>
      <c r="BH20" s="77"/>
      <c r="BI20" s="77"/>
      <c r="BJ20" s="77"/>
    </row>
    <row r="21" spans="1:62" s="78" customFormat="1" ht="24" customHeight="1">
      <c r="A21" s="96" t="s">
        <v>603</v>
      </c>
      <c r="B21" s="109" t="s">
        <v>601</v>
      </c>
      <c r="C21" s="109">
        <v>5.3414208335198747</v>
      </c>
      <c r="D21" s="109" t="s">
        <v>663</v>
      </c>
      <c r="E21" s="109" t="s">
        <v>601</v>
      </c>
      <c r="F21" s="238" t="s">
        <v>664</v>
      </c>
      <c r="G21" s="212"/>
      <c r="H21" s="53"/>
      <c r="I21" s="74"/>
      <c r="J21" s="81"/>
      <c r="K21" s="81"/>
      <c r="L21" s="81"/>
      <c r="M21" s="61"/>
      <c r="N21" s="75"/>
      <c r="O21" s="76"/>
      <c r="P21" s="77"/>
      <c r="Q21" s="77"/>
      <c r="R21" s="77"/>
      <c r="S21" s="77"/>
      <c r="T21" s="77"/>
      <c r="U21" s="77"/>
      <c r="V21" s="77"/>
      <c r="W21" s="77"/>
      <c r="X21" s="77"/>
      <c r="Y21" s="77"/>
      <c r="Z21" s="77"/>
      <c r="AA21" s="77"/>
      <c r="AB21" s="77"/>
      <c r="AC21" s="77"/>
      <c r="AD21" s="77"/>
      <c r="AE21" s="77"/>
      <c r="AF21" s="77"/>
      <c r="AG21" s="77"/>
      <c r="AH21" s="77"/>
      <c r="AI21" s="77"/>
      <c r="AJ21" s="77"/>
      <c r="AK21" s="77"/>
      <c r="AL21" s="77"/>
      <c r="AM21" s="77"/>
      <c r="AN21" s="77"/>
      <c r="AO21" s="77"/>
      <c r="AP21" s="77"/>
      <c r="AQ21" s="77"/>
      <c r="AR21" s="77"/>
      <c r="AS21" s="77"/>
      <c r="AT21" s="77"/>
      <c r="AU21" s="77"/>
      <c r="AV21" s="77"/>
      <c r="AW21" s="77"/>
      <c r="AX21" s="77"/>
      <c r="AY21" s="77"/>
      <c r="AZ21" s="77"/>
      <c r="BA21" s="77"/>
      <c r="BB21" s="77"/>
      <c r="BC21" s="77"/>
      <c r="BD21" s="77"/>
      <c r="BE21" s="77"/>
      <c r="BF21" s="77"/>
      <c r="BG21" s="77"/>
      <c r="BH21" s="77"/>
      <c r="BI21" s="77"/>
      <c r="BJ21" s="77"/>
    </row>
    <row r="22" spans="1:62" s="78" customFormat="1" ht="24" customHeight="1">
      <c r="A22" s="96" t="s">
        <v>513</v>
      </c>
      <c r="B22" s="109">
        <v>4.9292013970658966E-2</v>
      </c>
      <c r="C22" s="109">
        <v>0.19295999453957838</v>
      </c>
      <c r="D22" s="109">
        <v>0.14366798056891941</v>
      </c>
      <c r="E22" s="109">
        <v>0.28501001834878409</v>
      </c>
      <c r="F22" s="237">
        <v>9.2050023809205711E-2</v>
      </c>
      <c r="G22" s="212"/>
      <c r="H22" s="53"/>
      <c r="I22" s="74"/>
      <c r="J22" s="81"/>
      <c r="K22" s="81"/>
      <c r="L22" s="81"/>
      <c r="M22" s="61"/>
      <c r="N22" s="75"/>
      <c r="O22" s="76"/>
      <c r="P22" s="77"/>
      <c r="Q22" s="77"/>
      <c r="R22" s="77"/>
      <c r="S22" s="77"/>
      <c r="T22" s="77"/>
      <c r="U22" s="77"/>
      <c r="V22" s="77"/>
      <c r="W22" s="77"/>
      <c r="X22" s="77"/>
      <c r="Y22" s="77"/>
      <c r="Z22" s="77"/>
      <c r="AA22" s="77"/>
      <c r="AB22" s="77"/>
      <c r="AC22" s="77"/>
      <c r="AD22" s="77"/>
      <c r="AE22" s="77"/>
      <c r="AF22" s="77"/>
      <c r="AG22" s="77"/>
      <c r="AH22" s="77"/>
      <c r="AI22" s="77"/>
      <c r="AJ22" s="77"/>
      <c r="AK22" s="77"/>
      <c r="AL22" s="77"/>
      <c r="AM22" s="77"/>
      <c r="AN22" s="77"/>
      <c r="AO22" s="77"/>
      <c r="AP22" s="77"/>
      <c r="AQ22" s="77"/>
      <c r="AR22" s="77"/>
      <c r="AS22" s="77"/>
      <c r="AT22" s="77"/>
      <c r="AU22" s="77"/>
      <c r="AV22" s="77"/>
      <c r="AW22" s="77"/>
      <c r="AX22" s="77"/>
      <c r="AY22" s="77"/>
      <c r="AZ22" s="77"/>
      <c r="BA22" s="77"/>
      <c r="BB22" s="77"/>
      <c r="BC22" s="77"/>
      <c r="BD22" s="77"/>
      <c r="BE22" s="77"/>
      <c r="BF22" s="77"/>
      <c r="BG22" s="77"/>
      <c r="BH22" s="77"/>
      <c r="BI22" s="77"/>
      <c r="BJ22" s="77"/>
    </row>
    <row r="23" spans="1:62" s="78" customFormat="1" ht="24" customHeight="1">
      <c r="A23" s="96" t="s">
        <v>497</v>
      </c>
      <c r="B23" s="109">
        <v>0.62596197019850264</v>
      </c>
      <c r="C23" s="109">
        <v>1.4733713482268396</v>
      </c>
      <c r="D23" s="109">
        <v>0.84740937802833693</v>
      </c>
      <c r="E23" s="109">
        <v>0.58629838830061298</v>
      </c>
      <c r="F23" s="237">
        <v>-0.88707295992622659</v>
      </c>
      <c r="G23" s="212"/>
      <c r="H23" s="53"/>
      <c r="I23" s="74"/>
      <c r="J23" s="81"/>
      <c r="K23" s="81"/>
      <c r="L23" s="81"/>
      <c r="M23" s="61"/>
      <c r="N23" s="75"/>
      <c r="O23" s="76"/>
      <c r="P23" s="77"/>
      <c r="Q23" s="77"/>
      <c r="R23" s="77"/>
      <c r="S23" s="77"/>
      <c r="T23" s="77"/>
      <c r="U23" s="77"/>
      <c r="V23" s="77"/>
      <c r="W23" s="77"/>
      <c r="X23" s="77"/>
      <c r="Y23" s="77"/>
      <c r="Z23" s="77"/>
      <c r="AA23" s="77"/>
      <c r="AB23" s="77"/>
      <c r="AC23" s="77"/>
      <c r="AD23" s="77"/>
      <c r="AE23" s="77"/>
      <c r="AF23" s="77"/>
      <c r="AG23" s="77"/>
      <c r="AH23" s="77"/>
      <c r="AI23" s="77"/>
      <c r="AJ23" s="77"/>
      <c r="AK23" s="77"/>
      <c r="AL23" s="77"/>
      <c r="AM23" s="77"/>
      <c r="AN23" s="77"/>
      <c r="AO23" s="77"/>
      <c r="AP23" s="77"/>
      <c r="AQ23" s="77"/>
      <c r="AR23" s="77"/>
      <c r="AS23" s="77"/>
      <c r="AT23" s="77"/>
      <c r="AU23" s="77"/>
      <c r="AV23" s="77"/>
      <c r="AW23" s="77"/>
      <c r="AX23" s="77"/>
      <c r="AY23" s="77"/>
      <c r="AZ23" s="77"/>
      <c r="BA23" s="77"/>
      <c r="BB23" s="77"/>
      <c r="BC23" s="77"/>
      <c r="BD23" s="77"/>
      <c r="BE23" s="77"/>
      <c r="BF23" s="77"/>
      <c r="BG23" s="77"/>
      <c r="BH23" s="77"/>
      <c r="BI23" s="77"/>
      <c r="BJ23" s="77"/>
    </row>
    <row r="24" spans="1:62" s="78" customFormat="1" ht="24" customHeight="1">
      <c r="A24" s="96" t="s">
        <v>256</v>
      </c>
      <c r="B24" s="109">
        <v>1.1100612661228775</v>
      </c>
      <c r="C24" s="109">
        <v>0.65116594503153702</v>
      </c>
      <c r="D24" s="109">
        <v>-0.45889532109134046</v>
      </c>
      <c r="E24" s="109">
        <v>1.0600495086648525</v>
      </c>
      <c r="F24" s="237">
        <v>0.40888356363331546</v>
      </c>
      <c r="G24" s="212"/>
      <c r="H24" s="53"/>
      <c r="I24" s="74"/>
      <c r="J24" s="81"/>
      <c r="K24" s="81"/>
      <c r="L24" s="81"/>
      <c r="M24" s="61"/>
      <c r="N24" s="75"/>
      <c r="O24" s="76"/>
      <c r="P24" s="77"/>
      <c r="Q24" s="77"/>
      <c r="R24" s="77"/>
      <c r="S24" s="77"/>
      <c r="T24" s="77"/>
      <c r="U24" s="77"/>
      <c r="V24" s="77"/>
      <c r="W24" s="77"/>
      <c r="X24" s="77"/>
      <c r="Y24" s="77"/>
      <c r="Z24" s="77"/>
      <c r="AA24" s="77"/>
      <c r="AB24" s="77"/>
      <c r="AC24" s="77"/>
      <c r="AD24" s="77"/>
      <c r="AE24" s="77"/>
      <c r="AF24" s="77"/>
      <c r="AG24" s="77"/>
      <c r="AH24" s="77"/>
      <c r="AI24" s="77"/>
      <c r="AJ24" s="77"/>
      <c r="AK24" s="77"/>
      <c r="AL24" s="77"/>
      <c r="AM24" s="77"/>
      <c r="AN24" s="77"/>
      <c r="AO24" s="77"/>
      <c r="AP24" s="77"/>
      <c r="AQ24" s="77"/>
      <c r="AR24" s="77"/>
      <c r="AS24" s="77"/>
      <c r="AT24" s="77"/>
      <c r="AU24" s="77"/>
      <c r="AV24" s="77"/>
      <c r="AW24" s="77"/>
      <c r="AX24" s="77"/>
      <c r="AY24" s="77"/>
      <c r="AZ24" s="77"/>
      <c r="BA24" s="77"/>
      <c r="BB24" s="77"/>
      <c r="BC24" s="77"/>
      <c r="BD24" s="77"/>
      <c r="BE24" s="77"/>
      <c r="BF24" s="77"/>
      <c r="BG24" s="77"/>
      <c r="BH24" s="77"/>
      <c r="BI24" s="77"/>
      <c r="BJ24" s="77"/>
    </row>
    <row r="25" spans="1:62" s="78" customFormat="1" ht="24" customHeight="1">
      <c r="A25" s="96" t="s">
        <v>517</v>
      </c>
      <c r="B25" s="109">
        <v>0.35262008733624456</v>
      </c>
      <c r="C25" s="109">
        <v>0.51172537395739992</v>
      </c>
      <c r="D25" s="109">
        <v>0.15910528662115536</v>
      </c>
      <c r="E25" s="160">
        <v>0.49335220977471378</v>
      </c>
      <c r="F25" s="237">
        <v>-1.8373164182686141E-2</v>
      </c>
      <c r="G25" s="212"/>
      <c r="H25" s="53"/>
      <c r="I25" s="74"/>
      <c r="J25" s="81"/>
      <c r="K25" s="81"/>
      <c r="L25" s="81"/>
      <c r="M25" s="61"/>
      <c r="N25" s="75"/>
      <c r="O25" s="76"/>
      <c r="P25" s="77"/>
      <c r="Q25" s="77"/>
      <c r="R25" s="77"/>
      <c r="S25" s="77"/>
      <c r="T25" s="77"/>
      <c r="U25" s="77"/>
      <c r="V25" s="77"/>
      <c r="W25" s="77"/>
      <c r="X25" s="77"/>
      <c r="Y25" s="77"/>
      <c r="Z25" s="77"/>
      <c r="AA25" s="77"/>
      <c r="AB25" s="77"/>
      <c r="AC25" s="77"/>
      <c r="AD25" s="77"/>
      <c r="AE25" s="77"/>
      <c r="AF25" s="77"/>
      <c r="AG25" s="77"/>
      <c r="AH25" s="77"/>
      <c r="AI25" s="77"/>
      <c r="AJ25" s="77"/>
      <c r="AK25" s="77"/>
      <c r="AL25" s="77"/>
      <c r="AM25" s="77"/>
      <c r="AN25" s="77"/>
      <c r="AO25" s="77"/>
      <c r="AP25" s="77"/>
      <c r="AQ25" s="77"/>
      <c r="AR25" s="77"/>
      <c r="AS25" s="77"/>
      <c r="AT25" s="77"/>
      <c r="AU25" s="77"/>
      <c r="AV25" s="77"/>
      <c r="AW25" s="77"/>
      <c r="AX25" s="77"/>
      <c r="AY25" s="77"/>
      <c r="AZ25" s="77"/>
      <c r="BA25" s="77"/>
      <c r="BB25" s="77"/>
      <c r="BC25" s="77"/>
      <c r="BD25" s="77"/>
      <c r="BE25" s="77"/>
      <c r="BF25" s="77"/>
      <c r="BG25" s="77"/>
      <c r="BH25" s="77"/>
      <c r="BI25" s="77"/>
      <c r="BJ25" s="77"/>
    </row>
    <row r="26" spans="1:62" s="78" customFormat="1" ht="24" customHeight="1">
      <c r="A26" s="96" t="s">
        <v>605</v>
      </c>
      <c r="B26" s="109">
        <v>0.14046569875977793</v>
      </c>
      <c r="C26" s="109">
        <v>0.17306464743312458</v>
      </c>
      <c r="D26" s="110">
        <v>3.2598948673346645E-2</v>
      </c>
      <c r="E26" s="109">
        <v>0.28180409132032264</v>
      </c>
      <c r="F26" s="238">
        <v>0.10873944388719806</v>
      </c>
      <c r="G26" s="212"/>
      <c r="H26" s="53"/>
      <c r="I26" s="74"/>
      <c r="J26" s="81"/>
      <c r="K26" s="81"/>
      <c r="L26" s="81"/>
      <c r="M26" s="61"/>
      <c r="N26" s="75"/>
      <c r="O26" s="76"/>
      <c r="P26" s="77"/>
      <c r="Q26" s="77"/>
      <c r="R26" s="77"/>
      <c r="S26" s="77"/>
      <c r="T26" s="77"/>
      <c r="U26" s="77"/>
      <c r="V26" s="77"/>
      <c r="W26" s="77"/>
      <c r="X26" s="77"/>
      <c r="Y26" s="77"/>
      <c r="Z26" s="77"/>
      <c r="AA26" s="77"/>
      <c r="AB26" s="77"/>
      <c r="AC26" s="77"/>
      <c r="AD26" s="77"/>
      <c r="AE26" s="77"/>
      <c r="AF26" s="77"/>
      <c r="AG26" s="77"/>
      <c r="AH26" s="77"/>
      <c r="AI26" s="77"/>
      <c r="AJ26" s="77"/>
      <c r="AK26" s="77"/>
      <c r="AL26" s="77"/>
      <c r="AM26" s="77"/>
      <c r="AN26" s="77"/>
      <c r="AO26" s="77"/>
      <c r="AP26" s="77"/>
      <c r="AQ26" s="77"/>
      <c r="AR26" s="77"/>
      <c r="AS26" s="77"/>
      <c r="AT26" s="77"/>
      <c r="AU26" s="77"/>
      <c r="AV26" s="77"/>
      <c r="AW26" s="77"/>
      <c r="AX26" s="77"/>
      <c r="AY26" s="77"/>
      <c r="AZ26" s="77"/>
      <c r="BA26" s="77"/>
      <c r="BB26" s="77"/>
      <c r="BC26" s="77"/>
      <c r="BD26" s="77"/>
      <c r="BE26" s="77"/>
      <c r="BF26" s="77"/>
      <c r="BG26" s="77"/>
      <c r="BH26" s="77"/>
      <c r="BI26" s="77"/>
      <c r="BJ26" s="77"/>
    </row>
    <row r="27" spans="1:62" s="78" customFormat="1" ht="24" customHeight="1">
      <c r="A27" s="96" t="s">
        <v>524</v>
      </c>
      <c r="B27" s="109">
        <v>0.60880098586208964</v>
      </c>
      <c r="C27" s="109">
        <v>1.5715832193580184</v>
      </c>
      <c r="D27" s="109">
        <v>0.96278223349592873</v>
      </c>
      <c r="E27" s="110">
        <v>0.55467597052249962</v>
      </c>
      <c r="F27" s="238">
        <v>-1.0169072488355186</v>
      </c>
      <c r="G27" s="212"/>
      <c r="H27" s="53"/>
      <c r="I27" s="74"/>
      <c r="J27" s="81"/>
      <c r="K27" s="81"/>
      <c r="L27" s="81"/>
      <c r="M27" s="58"/>
      <c r="N27" s="75"/>
      <c r="O27" s="76"/>
      <c r="P27" s="77"/>
      <c r="Q27" s="77"/>
      <c r="R27" s="77"/>
      <c r="S27" s="77"/>
      <c r="T27" s="77"/>
      <c r="U27" s="77"/>
      <c r="V27" s="77"/>
      <c r="W27" s="77"/>
      <c r="X27" s="77"/>
      <c r="Y27" s="77"/>
      <c r="Z27" s="77"/>
      <c r="AA27" s="77"/>
      <c r="AB27" s="77"/>
      <c r="AC27" s="77"/>
      <c r="AD27" s="77"/>
      <c r="AE27" s="77"/>
      <c r="AF27" s="77"/>
      <c r="AG27" s="77"/>
      <c r="AH27" s="77"/>
      <c r="AI27" s="77"/>
      <c r="AJ27" s="77"/>
      <c r="AK27" s="77"/>
      <c r="AL27" s="77"/>
      <c r="AM27" s="77"/>
      <c r="AN27" s="77"/>
      <c r="AO27" s="77"/>
      <c r="AP27" s="77"/>
      <c r="AQ27" s="77"/>
      <c r="AR27" s="77"/>
      <c r="AS27" s="77"/>
      <c r="AT27" s="77"/>
      <c r="AU27" s="77"/>
      <c r="AV27" s="77"/>
      <c r="AW27" s="77"/>
      <c r="AX27" s="77"/>
      <c r="AY27" s="77"/>
      <c r="AZ27" s="77"/>
      <c r="BA27" s="77"/>
      <c r="BB27" s="77"/>
      <c r="BC27" s="77"/>
      <c r="BD27" s="77"/>
      <c r="BE27" s="77"/>
      <c r="BF27" s="77"/>
      <c r="BG27" s="77"/>
      <c r="BH27" s="77"/>
      <c r="BI27" s="77"/>
      <c r="BJ27" s="77"/>
    </row>
    <row r="28" spans="1:62" s="78" customFormat="1" ht="24" customHeight="1">
      <c r="A28" s="96" t="s">
        <v>645</v>
      </c>
      <c r="B28" s="109">
        <v>1.0107942188531085</v>
      </c>
      <c r="C28" s="109">
        <v>0.51856013625894315</v>
      </c>
      <c r="D28" s="109">
        <v>-0.49223408259416535</v>
      </c>
      <c r="E28" s="109">
        <v>1.1469863281834194</v>
      </c>
      <c r="F28" s="237">
        <v>0.62842619192447624</v>
      </c>
      <c r="G28" s="212"/>
      <c r="H28" s="53"/>
      <c r="I28" s="74"/>
      <c r="J28" s="81"/>
      <c r="K28" s="81"/>
      <c r="L28" s="81"/>
      <c r="M28" s="61"/>
      <c r="N28" s="75"/>
      <c r="O28" s="76"/>
      <c r="P28" s="77"/>
      <c r="Q28" s="77"/>
      <c r="R28" s="77"/>
      <c r="S28" s="77"/>
      <c r="T28" s="77"/>
      <c r="U28" s="77"/>
      <c r="V28" s="77"/>
      <c r="W28" s="77"/>
      <c r="X28" s="77"/>
      <c r="Y28" s="77"/>
      <c r="Z28" s="77"/>
      <c r="AA28" s="77"/>
      <c r="AB28" s="77"/>
      <c r="AC28" s="77"/>
      <c r="AD28" s="77"/>
      <c r="AE28" s="77"/>
      <c r="AF28" s="77"/>
      <c r="AG28" s="77"/>
      <c r="AH28" s="77"/>
      <c r="AI28" s="77"/>
      <c r="AJ28" s="77"/>
      <c r="AK28" s="77"/>
      <c r="AL28" s="77"/>
      <c r="AM28" s="77"/>
      <c r="AN28" s="77"/>
      <c r="AO28" s="77"/>
      <c r="AP28" s="77"/>
      <c r="AQ28" s="77"/>
      <c r="AR28" s="77"/>
      <c r="AS28" s="77"/>
      <c r="AT28" s="77"/>
      <c r="AU28" s="77"/>
      <c r="AV28" s="77"/>
      <c r="AW28" s="77"/>
      <c r="AX28" s="77"/>
      <c r="AY28" s="77"/>
      <c r="AZ28" s="77"/>
      <c r="BA28" s="77"/>
      <c r="BB28" s="77"/>
      <c r="BC28" s="77"/>
      <c r="BD28" s="77"/>
      <c r="BE28" s="77"/>
      <c r="BF28" s="77"/>
      <c r="BG28" s="77"/>
      <c r="BH28" s="77"/>
      <c r="BI28" s="77"/>
      <c r="BJ28" s="77"/>
    </row>
    <row r="29" spans="1:62" s="78" customFormat="1" ht="24" customHeight="1">
      <c r="A29" s="96" t="s">
        <v>646</v>
      </c>
      <c r="B29" s="109">
        <v>0.70140370413685715</v>
      </c>
      <c r="C29" s="109">
        <v>1.1600434165987499</v>
      </c>
      <c r="D29" s="109">
        <v>0.45863971246189272</v>
      </c>
      <c r="E29" s="109">
        <v>0.70254125125056699</v>
      </c>
      <c r="F29" s="238">
        <v>-0.45750216534818289</v>
      </c>
      <c r="G29" s="212"/>
      <c r="H29" s="53"/>
      <c r="I29" s="74"/>
      <c r="J29" s="81"/>
      <c r="K29" s="81"/>
      <c r="L29" s="81"/>
      <c r="M29" s="61"/>
      <c r="N29" s="75"/>
      <c r="O29" s="76"/>
      <c r="P29" s="77"/>
      <c r="Q29" s="77"/>
      <c r="R29" s="77"/>
      <c r="S29" s="77"/>
      <c r="T29" s="77"/>
      <c r="U29" s="77"/>
      <c r="V29" s="77"/>
      <c r="W29" s="77"/>
      <c r="X29" s="77"/>
      <c r="Y29" s="77"/>
      <c r="Z29" s="77"/>
      <c r="AA29" s="77"/>
      <c r="AB29" s="77"/>
      <c r="AC29" s="77"/>
      <c r="AD29" s="77"/>
      <c r="AE29" s="77"/>
      <c r="AF29" s="77"/>
      <c r="AG29" s="77"/>
      <c r="AH29" s="77"/>
      <c r="AI29" s="77"/>
      <c r="AJ29" s="77"/>
      <c r="AK29" s="77"/>
      <c r="AL29" s="77"/>
      <c r="AM29" s="77"/>
      <c r="AN29" s="77"/>
      <c r="AO29" s="77"/>
      <c r="AP29" s="77"/>
      <c r="AQ29" s="77"/>
      <c r="AR29" s="77"/>
      <c r="AS29" s="77"/>
      <c r="AT29" s="77"/>
      <c r="AU29" s="77"/>
      <c r="AV29" s="77"/>
      <c r="AW29" s="77"/>
      <c r="AX29" s="77"/>
      <c r="AY29" s="77"/>
      <c r="AZ29" s="77"/>
      <c r="BA29" s="77"/>
      <c r="BB29" s="77"/>
      <c r="BC29" s="77"/>
      <c r="BD29" s="77"/>
      <c r="BE29" s="77"/>
      <c r="BF29" s="77"/>
      <c r="BG29" s="77"/>
      <c r="BH29" s="77"/>
      <c r="BI29" s="77"/>
      <c r="BJ29" s="77"/>
    </row>
    <row r="30" spans="1:62" s="78" customFormat="1" ht="24" customHeight="1">
      <c r="A30" s="96" t="s">
        <v>656</v>
      </c>
      <c r="B30" s="109">
        <v>0.6711832703196623</v>
      </c>
      <c r="C30" s="109">
        <v>0.82321275316641818</v>
      </c>
      <c r="D30" s="109">
        <v>0.15202948284675588</v>
      </c>
      <c r="E30" s="110">
        <v>0.61743911597854728</v>
      </c>
      <c r="F30" s="238">
        <v>-0.20577363718787089</v>
      </c>
      <c r="G30" s="212"/>
      <c r="H30" s="53"/>
      <c r="I30" s="74"/>
      <c r="J30" s="81"/>
      <c r="K30" s="81"/>
      <c r="L30" s="81"/>
      <c r="M30" s="58"/>
      <c r="N30" s="58"/>
      <c r="O30" s="76"/>
      <c r="P30" s="77"/>
      <c r="Q30" s="77"/>
      <c r="R30" s="77"/>
      <c r="S30" s="77"/>
      <c r="T30" s="77"/>
      <c r="U30" s="77"/>
      <c r="V30" s="77"/>
      <c r="W30" s="77"/>
      <c r="X30" s="77"/>
      <c r="Y30" s="77"/>
      <c r="Z30" s="77"/>
      <c r="AA30" s="77"/>
      <c r="AB30" s="77"/>
      <c r="AC30" s="77"/>
      <c r="AD30" s="77"/>
      <c r="AE30" s="77"/>
      <c r="AF30" s="77"/>
      <c r="AG30" s="77"/>
      <c r="AH30" s="77"/>
      <c r="AI30" s="77"/>
      <c r="AJ30" s="77"/>
      <c r="AK30" s="77"/>
      <c r="AL30" s="77"/>
      <c r="AM30" s="77"/>
      <c r="AN30" s="77"/>
      <c r="AO30" s="77"/>
      <c r="AP30" s="77"/>
      <c r="AQ30" s="77"/>
      <c r="AR30" s="77"/>
      <c r="AS30" s="77"/>
      <c r="AT30" s="77"/>
      <c r="AU30" s="77"/>
      <c r="AV30" s="77"/>
      <c r="AW30" s="77"/>
      <c r="AX30" s="77"/>
      <c r="AY30" s="77"/>
      <c r="AZ30" s="77"/>
      <c r="BA30" s="77"/>
      <c r="BB30" s="77"/>
      <c r="BC30" s="77"/>
      <c r="BD30" s="77"/>
      <c r="BE30" s="77"/>
      <c r="BF30" s="77"/>
      <c r="BG30" s="77"/>
      <c r="BH30" s="77"/>
      <c r="BI30" s="77"/>
      <c r="BJ30" s="77"/>
    </row>
    <row r="31" spans="1:62" s="78" customFormat="1" ht="24" customHeight="1">
      <c r="A31" s="164" t="s">
        <v>504</v>
      </c>
      <c r="B31" s="162">
        <v>0.80486499760885966</v>
      </c>
      <c r="C31" s="162">
        <v>1.0757274153348706</v>
      </c>
      <c r="D31" s="162">
        <v>0.27086241772601094</v>
      </c>
      <c r="E31" s="163">
        <v>0.8079944389154371</v>
      </c>
      <c r="F31" s="239">
        <v>-0.2677329764194335</v>
      </c>
      <c r="G31" s="224"/>
      <c r="H31" s="53"/>
      <c r="I31" s="74"/>
      <c r="J31" s="81"/>
      <c r="K31" s="81"/>
      <c r="L31" s="81"/>
      <c r="M31" s="61"/>
      <c r="N31" s="75"/>
      <c r="O31" s="76"/>
      <c r="P31" s="77"/>
      <c r="Q31" s="77"/>
      <c r="R31" s="77"/>
      <c r="S31" s="77"/>
      <c r="T31" s="77"/>
      <c r="U31" s="77"/>
      <c r="V31" s="77"/>
      <c r="W31" s="77"/>
      <c r="X31" s="77"/>
      <c r="Y31" s="77"/>
      <c r="Z31" s="77"/>
      <c r="AA31" s="77"/>
      <c r="AB31" s="77"/>
      <c r="AC31" s="77"/>
      <c r="AD31" s="77"/>
      <c r="AE31" s="77"/>
      <c r="AF31" s="77"/>
      <c r="AG31" s="77"/>
      <c r="AH31" s="77"/>
      <c r="AI31" s="77"/>
      <c r="AJ31" s="77"/>
      <c r="AK31" s="77"/>
      <c r="AL31" s="77"/>
      <c r="AM31" s="77"/>
      <c r="AN31" s="77"/>
      <c r="AO31" s="77"/>
      <c r="AP31" s="77"/>
      <c r="AQ31" s="77"/>
      <c r="AR31" s="77"/>
      <c r="AS31" s="77"/>
      <c r="AT31" s="77"/>
      <c r="AU31" s="77"/>
      <c r="AV31" s="77"/>
      <c r="AW31" s="77"/>
      <c r="AX31" s="77"/>
      <c r="AY31" s="77"/>
      <c r="AZ31" s="77"/>
      <c r="BA31" s="77"/>
      <c r="BB31" s="77"/>
      <c r="BC31" s="77"/>
      <c r="BD31" s="77"/>
      <c r="BE31" s="77"/>
      <c r="BF31" s="77"/>
      <c r="BG31" s="77"/>
      <c r="BH31" s="77"/>
      <c r="BI31" s="77"/>
      <c r="BJ31" s="77"/>
    </row>
    <row r="32" spans="1:62" s="77" customFormat="1" ht="19.5" customHeight="1" thickBot="1">
      <c r="A32" s="208" t="s">
        <v>647</v>
      </c>
      <c r="B32" s="209">
        <v>0.5722273565053132</v>
      </c>
      <c r="C32" s="209">
        <v>0.69982691633649363</v>
      </c>
      <c r="D32" s="210">
        <v>0.12759955983118043</v>
      </c>
      <c r="E32" s="209">
        <v>0.68724850517751379</v>
      </c>
      <c r="F32" s="234">
        <v>-1.2578411158979841E-2</v>
      </c>
      <c r="G32" s="240"/>
      <c r="H32" s="76"/>
      <c r="I32" s="74"/>
      <c r="J32" s="81"/>
      <c r="K32" s="81"/>
      <c r="L32" s="81"/>
      <c r="M32" s="61"/>
      <c r="N32" s="75"/>
      <c r="O32" s="76"/>
    </row>
    <row r="33" spans="1:14" ht="6.75" customHeight="1" thickTop="1">
      <c r="B33" s="84"/>
      <c r="C33" s="84"/>
      <c r="D33" s="84"/>
      <c r="E33" s="84"/>
      <c r="F33" s="94"/>
      <c r="G33" s="44"/>
      <c r="J33" s="74"/>
      <c r="K33" s="74"/>
      <c r="L33" s="74"/>
      <c r="M33" s="74"/>
      <c r="N33" s="74"/>
    </row>
    <row r="34" spans="1:14">
      <c r="A34" s="4" t="s">
        <v>7</v>
      </c>
      <c r="B34" s="85"/>
      <c r="C34" s="85"/>
      <c r="D34" s="85"/>
      <c r="E34" s="85"/>
      <c r="F34" s="94"/>
      <c r="G34" s="4"/>
      <c r="J34" s="46"/>
      <c r="K34" s="46"/>
      <c r="L34" s="46"/>
      <c r="M34" s="46"/>
      <c r="N34" s="46"/>
    </row>
    <row r="35" spans="1:14">
      <c r="A35" s="1" t="s">
        <v>17</v>
      </c>
      <c r="B35" s="85"/>
      <c r="C35" s="85"/>
      <c r="D35" s="85"/>
      <c r="E35" s="85"/>
      <c r="F35" s="94"/>
      <c r="G35" s="4"/>
      <c r="I35" s="46"/>
    </row>
    <row r="36" spans="1:14">
      <c r="A36" s="166" t="str">
        <f>Finanzierungsfehlbetrag!A34</f>
        <v>HRM2 / MCH2</v>
      </c>
      <c r="B36" s="85"/>
      <c r="C36" s="85"/>
      <c r="D36" s="85"/>
      <c r="E36" s="85"/>
      <c r="F36" s="94"/>
      <c r="G36" s="4"/>
    </row>
    <row r="37" spans="1:14">
      <c r="A37" s="86"/>
      <c r="B37" s="85"/>
      <c r="C37" s="85"/>
      <c r="D37" s="85"/>
      <c r="E37" s="85"/>
      <c r="F37" s="94"/>
    </row>
    <row r="38" spans="1:14">
      <c r="B38" s="85"/>
      <c r="C38" s="85"/>
      <c r="D38" s="85"/>
      <c r="E38" s="85"/>
      <c r="F38" s="94"/>
      <c r="I38" s="46"/>
    </row>
    <row r="39" spans="1:14">
      <c r="B39" s="85"/>
      <c r="C39" s="85"/>
      <c r="D39" s="85"/>
      <c r="E39" s="85"/>
      <c r="F39" s="94"/>
      <c r="I39" s="46"/>
    </row>
    <row r="40" spans="1:14">
      <c r="B40" s="85"/>
      <c r="C40" s="85"/>
      <c r="D40" s="85"/>
      <c r="E40" s="85"/>
      <c r="F40" s="94"/>
    </row>
    <row r="41" spans="1:14">
      <c r="B41" s="85"/>
      <c r="C41" s="85"/>
      <c r="D41" s="85"/>
      <c r="E41" s="85"/>
      <c r="F41" s="94"/>
    </row>
    <row r="42" spans="1:14">
      <c r="A42" s="86"/>
      <c r="B42" s="85"/>
      <c r="C42" s="85"/>
      <c r="D42" s="85"/>
      <c r="E42" s="85"/>
      <c r="F42" s="94"/>
    </row>
    <row r="43" spans="1:14">
      <c r="A43" s="86"/>
      <c r="B43" s="85"/>
      <c r="C43" s="85"/>
      <c r="D43" s="85"/>
      <c r="E43" s="85"/>
      <c r="F43" s="94"/>
    </row>
    <row r="44" spans="1:14">
      <c r="A44" s="86"/>
      <c r="B44" s="85"/>
      <c r="C44" s="85"/>
      <c r="D44" s="85"/>
      <c r="E44" s="85"/>
      <c r="F44" s="94"/>
    </row>
    <row r="45" spans="1:14">
      <c r="B45" s="85"/>
      <c r="C45" s="85"/>
      <c r="D45" s="85"/>
      <c r="E45" s="85"/>
      <c r="F45" s="94"/>
    </row>
    <row r="46" spans="1:14">
      <c r="B46" s="85"/>
      <c r="C46" s="85"/>
      <c r="D46" s="85"/>
      <c r="E46" s="85"/>
      <c r="F46" s="94"/>
    </row>
    <row r="47" spans="1:14">
      <c r="B47" s="85"/>
      <c r="C47" s="85"/>
      <c r="D47" s="85"/>
      <c r="E47" s="85"/>
      <c r="F47" s="94"/>
    </row>
    <row r="48" spans="1:14">
      <c r="B48" s="85"/>
      <c r="C48" s="85"/>
      <c r="D48" s="85"/>
      <c r="E48" s="85"/>
      <c r="F48" s="94"/>
    </row>
    <row r="49" spans="1:6">
      <c r="B49" s="85"/>
      <c r="C49" s="85"/>
      <c r="D49" s="85"/>
      <c r="E49" s="85"/>
      <c r="F49" s="94"/>
    </row>
    <row r="50" spans="1:6">
      <c r="B50" s="85"/>
      <c r="C50" s="85"/>
      <c r="D50" s="85"/>
      <c r="E50" s="85"/>
      <c r="F50" s="94"/>
    </row>
    <row r="51" spans="1:6">
      <c r="B51" s="85"/>
      <c r="C51" s="85"/>
      <c r="D51" s="85"/>
      <c r="E51" s="85"/>
      <c r="F51" s="94"/>
    </row>
    <row r="52" spans="1:6">
      <c r="B52" s="85"/>
      <c r="C52" s="85"/>
      <c r="D52" s="85"/>
      <c r="E52" s="85"/>
      <c r="F52" s="94"/>
    </row>
    <row r="53" spans="1:6">
      <c r="B53" s="85"/>
      <c r="C53" s="85"/>
      <c r="D53" s="85"/>
      <c r="E53" s="85"/>
      <c r="F53" s="94"/>
    </row>
    <row r="54" spans="1:6">
      <c r="B54" s="85"/>
      <c r="C54" s="85"/>
      <c r="D54" s="85"/>
      <c r="E54" s="85"/>
      <c r="F54" s="94"/>
    </row>
    <row r="55" spans="1:6">
      <c r="A55" s="86"/>
      <c r="B55" s="85"/>
      <c r="C55" s="85"/>
      <c r="D55" s="85"/>
      <c r="E55" s="85"/>
      <c r="F55" s="94"/>
    </row>
  </sheetData>
  <mergeCells count="1">
    <mergeCell ref="A1:F1"/>
  </mergeCells>
  <phoneticPr fontId="7" type="noConversion"/>
  <pageMargins left="0.23622047244094491" right="0.23622047244094491" top="0.74803149606299213" bottom="0.74803149606299213" header="0.31496062992125984" footer="0.31496062992125984"/>
  <pageSetup paperSize="9" scale="94" orientation="portrait" r:id="rId1"/>
  <headerFooter alignWithMargins="0">
    <oddHeader>&amp;LFachgruppe für kantonale Finanzfragen (FkF)
Groupe d'études pour les finances cantonales
&amp;CKanton VD&amp;RZürich, 11.05.2015</oddHeader>
    <oddFooter>&amp;L&amp;F / &amp;A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"/>
  <sheetViews>
    <sheetView view="pageLayout" zoomScaleNormal="100" workbookViewId="0">
      <selection activeCell="C24" sqref="C24"/>
    </sheetView>
  </sheetViews>
  <sheetFormatPr baseColWidth="10" defaultRowHeight="12.75"/>
  <cols>
    <col min="1" max="1" width="11.5703125" style="915" bestFit="1" customWidth="1"/>
    <col min="2" max="2" width="43.140625" style="915" customWidth="1"/>
    <col min="3" max="3" width="13.28515625" style="915" bestFit="1" customWidth="1"/>
    <col min="4" max="4" width="11.5703125" style="915" bestFit="1" customWidth="1"/>
    <col min="5" max="5" width="13.28515625" style="915" bestFit="1" customWidth="1"/>
    <col min="6" max="6" width="11.5703125" style="915" bestFit="1" customWidth="1"/>
    <col min="7" max="7" width="12.42578125" style="915" customWidth="1"/>
    <col min="8" max="8" width="11.5703125" style="915" bestFit="1" customWidth="1"/>
    <col min="9" max="9" width="13" style="915" customWidth="1"/>
    <col min="10" max="16384" width="11.42578125" style="915"/>
  </cols>
  <sheetData>
    <row r="1" spans="1:9">
      <c r="A1" s="852" t="s">
        <v>490</v>
      </c>
      <c r="B1" s="853" t="s">
        <v>667</v>
      </c>
      <c r="C1" s="854" t="s">
        <v>487</v>
      </c>
      <c r="D1" s="855" t="s">
        <v>530</v>
      </c>
      <c r="E1" s="854" t="s">
        <v>254</v>
      </c>
      <c r="F1" s="855" t="s">
        <v>530</v>
      </c>
      <c r="G1" s="854" t="s">
        <v>487</v>
      </c>
      <c r="H1" s="855" t="s">
        <v>530</v>
      </c>
      <c r="I1" s="856" t="s">
        <v>254</v>
      </c>
    </row>
    <row r="2" spans="1:9">
      <c r="A2" s="857">
        <v>0</v>
      </c>
      <c r="B2" s="858">
        <v>0</v>
      </c>
      <c r="C2" s="859">
        <v>2013</v>
      </c>
      <c r="D2" s="860" t="s">
        <v>531</v>
      </c>
      <c r="E2" s="859">
        <v>2014</v>
      </c>
      <c r="F2" s="860" t="s">
        <v>531</v>
      </c>
      <c r="G2" s="861">
        <v>2014</v>
      </c>
      <c r="H2" s="860" t="s">
        <v>531</v>
      </c>
      <c r="I2" s="862">
        <v>2015</v>
      </c>
    </row>
    <row r="3" spans="1:9">
      <c r="A3" s="857">
        <v>0</v>
      </c>
      <c r="B3" s="863" t="s">
        <v>607</v>
      </c>
      <c r="C3" s="864" t="s">
        <v>0</v>
      </c>
      <c r="D3" s="865">
        <v>0</v>
      </c>
      <c r="E3" s="864" t="s">
        <v>0</v>
      </c>
      <c r="F3" s="858">
        <v>0</v>
      </c>
      <c r="G3" s="866" t="s">
        <v>0</v>
      </c>
      <c r="H3" s="858">
        <v>0</v>
      </c>
      <c r="I3" s="867" t="s">
        <v>0</v>
      </c>
    </row>
    <row r="4" spans="1:9">
      <c r="A4" s="852" t="s">
        <v>533</v>
      </c>
      <c r="B4" s="868" t="s">
        <v>484</v>
      </c>
      <c r="C4" s="869">
        <v>23968778.412669998</v>
      </c>
      <c r="D4" s="870">
        <v>4.072707584521694E-2</v>
      </c>
      <c r="E4" s="869">
        <v>24944956.669000007</v>
      </c>
      <c r="F4" s="870">
        <v>9.0139237872248583E-3</v>
      </c>
      <c r="G4" s="869">
        <v>25169808.60729</v>
      </c>
      <c r="H4" s="870">
        <v>-5.5661421591735045E-2</v>
      </c>
      <c r="I4" s="871">
        <v>23768821.279016349</v>
      </c>
    </row>
    <row r="5" spans="1:9">
      <c r="A5" s="872" t="s">
        <v>534</v>
      </c>
      <c r="B5" s="873" t="s">
        <v>608</v>
      </c>
      <c r="C5" s="874">
        <v>8424744.6455400009</v>
      </c>
      <c r="D5" s="875">
        <v>7.4357072744232186E-2</v>
      </c>
      <c r="E5" s="874">
        <v>9051183.9959999993</v>
      </c>
      <c r="F5" s="875">
        <v>2.5938001532589849E-2</v>
      </c>
      <c r="G5" s="874">
        <v>9285953.6203600001</v>
      </c>
      <c r="H5" s="875">
        <v>-2.3049207042179352E-2</v>
      </c>
      <c r="I5" s="876">
        <v>9071919.7527802475</v>
      </c>
    </row>
    <row r="6" spans="1:9">
      <c r="A6" s="872" t="s">
        <v>482</v>
      </c>
      <c r="B6" s="873" t="s">
        <v>609</v>
      </c>
      <c r="C6" s="874">
        <v>1131211.2161400001</v>
      </c>
      <c r="D6" s="875">
        <v>4.988575766827979E-3</v>
      </c>
      <c r="E6" s="874">
        <v>1136854.3490000002</v>
      </c>
      <c r="F6" s="875">
        <v>5.1086983087221876E-3</v>
      </c>
      <c r="G6" s="874">
        <v>1142662.1948899999</v>
      </c>
      <c r="H6" s="875">
        <v>-4.8807995170347875E-2</v>
      </c>
      <c r="I6" s="876">
        <v>1086891.1440004697</v>
      </c>
    </row>
    <row r="7" spans="1:9">
      <c r="A7" s="872" t="s">
        <v>537</v>
      </c>
      <c r="B7" s="873" t="s">
        <v>610</v>
      </c>
      <c r="C7" s="874">
        <v>980926.92094999994</v>
      </c>
      <c r="D7" s="875">
        <v>-3.4115555639547587E-2</v>
      </c>
      <c r="E7" s="874">
        <v>947462.05400000012</v>
      </c>
      <c r="F7" s="875">
        <v>-8.6195812492138243E-2</v>
      </c>
      <c r="G7" s="874">
        <v>865794.79244999995</v>
      </c>
      <c r="H7" s="875">
        <v>0.11030676712636332</v>
      </c>
      <c r="I7" s="876">
        <v>961297.81700000016</v>
      </c>
    </row>
    <row r="8" spans="1:9">
      <c r="A8" s="872" t="s">
        <v>539</v>
      </c>
      <c r="B8" s="873" t="s">
        <v>611</v>
      </c>
      <c r="C8" s="874">
        <v>1522686.0822299998</v>
      </c>
      <c r="D8" s="875">
        <v>-0.89092177833742614</v>
      </c>
      <c r="E8" s="874">
        <v>166091.89000000001</v>
      </c>
      <c r="F8" s="875">
        <v>1.2805726509584545</v>
      </c>
      <c r="G8" s="874">
        <v>378784.62188000005</v>
      </c>
      <c r="H8" s="875">
        <v>-0.57634857454472332</v>
      </c>
      <c r="I8" s="876">
        <v>160472.64500000002</v>
      </c>
    </row>
    <row r="9" spans="1:9">
      <c r="A9" s="872" t="s">
        <v>541</v>
      </c>
      <c r="B9" s="873" t="s">
        <v>612</v>
      </c>
      <c r="C9" s="874">
        <v>3884147.0679600001</v>
      </c>
      <c r="D9" s="875">
        <v>-8.7637639003916551E-2</v>
      </c>
      <c r="E9" s="874">
        <v>3543749.5893800007</v>
      </c>
      <c r="F9" s="875">
        <v>3.4472056726607338E-2</v>
      </c>
      <c r="G9" s="874">
        <v>3665909.9262499996</v>
      </c>
      <c r="H9" s="875">
        <v>4.2570799075697932E-3</v>
      </c>
      <c r="I9" s="876">
        <v>3681515.9977399991</v>
      </c>
    </row>
    <row r="10" spans="1:9">
      <c r="A10" s="872" t="s">
        <v>543</v>
      </c>
      <c r="B10" s="873" t="s">
        <v>613</v>
      </c>
      <c r="C10" s="874">
        <v>45454868.104670011</v>
      </c>
      <c r="D10" s="875">
        <v>1.092674688190268E-2</v>
      </c>
      <c r="E10" s="874">
        <v>45951541.943000011</v>
      </c>
      <c r="F10" s="875">
        <v>9.240168123556821E-3</v>
      </c>
      <c r="G10" s="874">
        <v>46376141.916090004</v>
      </c>
      <c r="H10" s="875">
        <v>1.3282052763778713E-2</v>
      </c>
      <c r="I10" s="876">
        <v>46992112.280000001</v>
      </c>
    </row>
    <row r="11" spans="1:9">
      <c r="A11" s="872" t="s">
        <v>614</v>
      </c>
      <c r="B11" s="873" t="s">
        <v>615</v>
      </c>
      <c r="C11" s="874">
        <v>7214221.2696000002</v>
      </c>
      <c r="D11" s="877">
        <v>0.15632221514360742</v>
      </c>
      <c r="E11" s="874">
        <v>8341964.3190000001</v>
      </c>
      <c r="F11" s="875">
        <v>3.5942340880923802E-2</v>
      </c>
      <c r="G11" s="874">
        <v>8641794.0441700015</v>
      </c>
      <c r="H11" s="875">
        <v>1.4010390575285574E-2</v>
      </c>
      <c r="I11" s="876">
        <v>8762868.9539999999</v>
      </c>
    </row>
    <row r="12" spans="1:9">
      <c r="A12" s="872" t="s">
        <v>616</v>
      </c>
      <c r="B12" s="873" t="s">
        <v>617</v>
      </c>
      <c r="C12" s="874">
        <v>3166515.2198899998</v>
      </c>
      <c r="D12" s="877">
        <v>-2.1504709174385342E-3</v>
      </c>
      <c r="E12" s="874">
        <v>3159705.7209999999</v>
      </c>
      <c r="F12" s="875">
        <v>-0.12511122825225904</v>
      </c>
      <c r="G12" s="874">
        <v>2764391.0573300002</v>
      </c>
      <c r="H12" s="875">
        <v>8.682104401748876E-2</v>
      </c>
      <c r="I12" s="876">
        <v>3004398.3750000005</v>
      </c>
    </row>
    <row r="13" spans="1:9">
      <c r="A13" s="872" t="s">
        <v>618</v>
      </c>
      <c r="B13" s="873" t="s">
        <v>619</v>
      </c>
      <c r="C13" s="874">
        <v>6071593.8475199994</v>
      </c>
      <c r="D13" s="877">
        <v>-0.63198790809884786</v>
      </c>
      <c r="E13" s="874">
        <v>2234419.9529999997</v>
      </c>
      <c r="F13" s="877">
        <v>-4.1846506537170931E-2</v>
      </c>
      <c r="G13" s="874">
        <v>2140917.2838300001</v>
      </c>
      <c r="H13" s="877">
        <v>5.9417958428748356E-2</v>
      </c>
      <c r="I13" s="876">
        <v>2268126.2179999999</v>
      </c>
    </row>
    <row r="14" spans="1:9">
      <c r="A14" s="872" t="s">
        <v>620</v>
      </c>
      <c r="B14" s="873" t="s">
        <v>621</v>
      </c>
      <c r="C14" s="874">
        <v>949763.80784999987</v>
      </c>
      <c r="D14" s="877">
        <v>-0.14089219524264471</v>
      </c>
      <c r="E14" s="874">
        <v>815949.5</v>
      </c>
      <c r="F14" s="875">
        <v>0.41302303092286957</v>
      </c>
      <c r="G14" s="874">
        <v>1152955.43557</v>
      </c>
      <c r="H14" s="875">
        <v>-0.12807705399037908</v>
      </c>
      <c r="I14" s="876">
        <v>1005288.3</v>
      </c>
    </row>
    <row r="15" spans="1:9">
      <c r="A15" s="872" t="s">
        <v>622</v>
      </c>
      <c r="B15" s="873" t="s">
        <v>623</v>
      </c>
      <c r="C15" s="874">
        <v>702439.26013999991</v>
      </c>
      <c r="D15" s="877">
        <v>0.38294234836245955</v>
      </c>
      <c r="E15" s="874">
        <v>971433.00000000012</v>
      </c>
      <c r="F15" s="875">
        <v>-1.2529519925718201E-2</v>
      </c>
      <c r="G15" s="874">
        <v>959261.41086999991</v>
      </c>
      <c r="H15" s="875">
        <v>5.9222114520876015E-2</v>
      </c>
      <c r="I15" s="876">
        <v>1016070.9000000001</v>
      </c>
    </row>
    <row r="16" spans="1:9">
      <c r="A16" s="872" t="s">
        <v>624</v>
      </c>
      <c r="B16" s="873" t="s">
        <v>625</v>
      </c>
      <c r="C16" s="874">
        <v>465929.39578999998</v>
      </c>
      <c r="D16" s="877">
        <v>-0.53316961332477419</v>
      </c>
      <c r="E16" s="874">
        <v>217510</v>
      </c>
      <c r="F16" s="877">
        <v>-0.49837556893935908</v>
      </c>
      <c r="G16" s="874">
        <v>109108.33</v>
      </c>
      <c r="H16" s="877">
        <v>0.59688540737448736</v>
      </c>
      <c r="I16" s="876">
        <v>174233.5</v>
      </c>
    </row>
    <row r="17" spans="1:9">
      <c r="A17" s="872" t="s">
        <v>558</v>
      </c>
      <c r="B17" s="873" t="s">
        <v>626</v>
      </c>
      <c r="C17" s="874">
        <v>871647.67116000003</v>
      </c>
      <c r="D17" s="875">
        <v>-0.61887784366142085</v>
      </c>
      <c r="E17" s="874">
        <v>332204.24</v>
      </c>
      <c r="F17" s="875">
        <v>1.202966542329502</v>
      </c>
      <c r="G17" s="874">
        <v>731834.82594000001</v>
      </c>
      <c r="H17" s="875">
        <v>-0.28618309776524764</v>
      </c>
      <c r="I17" s="876">
        <v>522396.06839999999</v>
      </c>
    </row>
    <row r="18" spans="1:9">
      <c r="A18" s="872">
        <v>389</v>
      </c>
      <c r="B18" s="873" t="s">
        <v>417</v>
      </c>
      <c r="C18" s="874">
        <v>2990.163</v>
      </c>
      <c r="D18" s="877">
        <v>-0.84245006041476667</v>
      </c>
      <c r="E18" s="874">
        <v>471.1</v>
      </c>
      <c r="F18" s="877">
        <v>269.1627335172999</v>
      </c>
      <c r="G18" s="874">
        <v>127273.66376</v>
      </c>
      <c r="H18" s="877">
        <v>-1</v>
      </c>
      <c r="I18" s="876">
        <v>0</v>
      </c>
    </row>
    <row r="19" spans="1:9">
      <c r="A19" s="878" t="s">
        <v>560</v>
      </c>
      <c r="B19" s="879" t="s">
        <v>447</v>
      </c>
      <c r="C19" s="880">
        <v>2380315.6371200001</v>
      </c>
      <c r="D19" s="877">
        <v>3.0026739632932384E-2</v>
      </c>
      <c r="E19" s="880">
        <v>2451788.7549999999</v>
      </c>
      <c r="F19" s="877">
        <v>-2.7626008583272157E-2</v>
      </c>
      <c r="G19" s="880">
        <v>2384055.6178099997</v>
      </c>
      <c r="H19" s="877">
        <v>1.5227373878696621E-2</v>
      </c>
      <c r="I19" s="881">
        <v>2420358.5240499997</v>
      </c>
    </row>
    <row r="20" spans="1:9">
      <c r="A20" s="882" t="s">
        <v>562</v>
      </c>
      <c r="B20" s="943" t="s">
        <v>627</v>
      </c>
      <c r="C20" s="944">
        <v>87491104.705300018</v>
      </c>
      <c r="D20" s="945">
        <v>-1.1618834767536013E-3</v>
      </c>
      <c r="E20" s="944">
        <v>87389450.236380011</v>
      </c>
      <c r="F20" s="945">
        <v>1.8264302511718386E-2</v>
      </c>
      <c r="G20" s="944">
        <v>88985557.591830015</v>
      </c>
      <c r="H20" s="945">
        <v>-1.5807770001236336E-2</v>
      </c>
      <c r="I20" s="883">
        <v>87578894.363986596</v>
      </c>
    </row>
    <row r="21" spans="1:9">
      <c r="A21" s="884" t="s">
        <v>564</v>
      </c>
      <c r="B21" s="885" t="s">
        <v>628</v>
      </c>
      <c r="C21" s="869">
        <v>38581196.275250003</v>
      </c>
      <c r="D21" s="875">
        <v>-1.7254850182213319E-2</v>
      </c>
      <c r="E21" s="869">
        <v>37915483.513669997</v>
      </c>
      <c r="F21" s="875">
        <v>5.8755821797627063E-3</v>
      </c>
      <c r="G21" s="869">
        <v>38138259.052940004</v>
      </c>
      <c r="H21" s="875">
        <v>1.0982980515145114E-2</v>
      </c>
      <c r="I21" s="871">
        <v>38557130.809</v>
      </c>
    </row>
    <row r="22" spans="1:9">
      <c r="A22" s="886" t="s">
        <v>566</v>
      </c>
      <c r="B22" s="887" t="s">
        <v>629</v>
      </c>
      <c r="C22" s="874">
        <v>3734864.5214499999</v>
      </c>
      <c r="D22" s="875">
        <v>0.22404640750533378</v>
      </c>
      <c r="E22" s="874">
        <v>4571647.5</v>
      </c>
      <c r="F22" s="875">
        <v>0.12826064360386466</v>
      </c>
      <c r="G22" s="874">
        <v>5158009.9506799988</v>
      </c>
      <c r="H22" s="875">
        <v>-5.1906927912130571E-2</v>
      </c>
      <c r="I22" s="876">
        <v>4890273.5</v>
      </c>
    </row>
    <row r="23" spans="1:9">
      <c r="A23" s="886" t="s">
        <v>568</v>
      </c>
      <c r="B23" s="887" t="s">
        <v>630</v>
      </c>
      <c r="C23" s="874">
        <v>3262431.3628399996</v>
      </c>
      <c r="D23" s="875">
        <v>-0.16134047840374871</v>
      </c>
      <c r="E23" s="874">
        <v>2736069.1260000002</v>
      </c>
      <c r="F23" s="875">
        <v>0.16026741366036637</v>
      </c>
      <c r="G23" s="874">
        <v>3174571.8484199992</v>
      </c>
      <c r="H23" s="875">
        <v>-0.18233326163592298</v>
      </c>
      <c r="I23" s="876">
        <v>2595741.8089999999</v>
      </c>
    </row>
    <row r="24" spans="1:9">
      <c r="A24" s="886" t="s">
        <v>570</v>
      </c>
      <c r="B24" s="887" t="s">
        <v>631</v>
      </c>
      <c r="C24" s="874">
        <v>10126123.201169999</v>
      </c>
      <c r="D24" s="875">
        <v>-8.3644534175935467E-2</v>
      </c>
      <c r="E24" s="874">
        <v>9279128.3430000022</v>
      </c>
      <c r="F24" s="875">
        <v>1.5068510397905854E-2</v>
      </c>
      <c r="G24" s="874">
        <v>9418950.9849200007</v>
      </c>
      <c r="H24" s="875">
        <v>-3.7371811326287974E-2</v>
      </c>
      <c r="I24" s="876">
        <v>9066947.7258200161</v>
      </c>
    </row>
    <row r="25" spans="1:9">
      <c r="A25" s="886" t="s">
        <v>572</v>
      </c>
      <c r="B25" s="887" t="s">
        <v>613</v>
      </c>
      <c r="C25" s="874">
        <v>27963365.019600004</v>
      </c>
      <c r="D25" s="875">
        <v>5.9275612753980148E-3</v>
      </c>
      <c r="E25" s="874">
        <v>28129119.579220004</v>
      </c>
      <c r="F25" s="875">
        <v>8.7028702199708884E-3</v>
      </c>
      <c r="G25" s="874">
        <v>28373923.656319998</v>
      </c>
      <c r="H25" s="875">
        <v>1.3077981160160956E-2</v>
      </c>
      <c r="I25" s="876">
        <v>28744997.295337196</v>
      </c>
    </row>
    <row r="26" spans="1:9">
      <c r="A26" s="888" t="s">
        <v>574</v>
      </c>
      <c r="B26" s="887" t="s">
        <v>632</v>
      </c>
      <c r="C26" s="874">
        <v>853282.44808999996</v>
      </c>
      <c r="D26" s="875">
        <v>-9.3512895136434307E-2</v>
      </c>
      <c r="E26" s="874">
        <v>773489.53599999985</v>
      </c>
      <c r="F26" s="875">
        <v>-9.5661997708007707E-2</v>
      </c>
      <c r="G26" s="874">
        <v>699495.98177999991</v>
      </c>
      <c r="H26" s="875">
        <v>0.16515481751020877</v>
      </c>
      <c r="I26" s="876">
        <v>815021.11300000013</v>
      </c>
    </row>
    <row r="27" spans="1:9">
      <c r="A27" s="889">
        <v>489</v>
      </c>
      <c r="B27" s="887" t="s">
        <v>407</v>
      </c>
      <c r="C27" s="874">
        <v>117803.49</v>
      </c>
      <c r="D27" s="875">
        <v>0.12201832899857197</v>
      </c>
      <c r="E27" s="874">
        <v>132177.67499999999</v>
      </c>
      <c r="F27" s="875">
        <v>3.8891579080962023E-3</v>
      </c>
      <c r="G27" s="874">
        <v>132691.73485000001</v>
      </c>
      <c r="H27" s="875">
        <v>-0.33675673093364483</v>
      </c>
      <c r="I27" s="876">
        <v>88006.900000000009</v>
      </c>
    </row>
    <row r="28" spans="1:9">
      <c r="A28" s="890" t="s">
        <v>576</v>
      </c>
      <c r="B28" s="891" t="s">
        <v>447</v>
      </c>
      <c r="C28" s="880">
        <v>2380315.6371200001</v>
      </c>
      <c r="D28" s="875">
        <v>3.0310609548948115E-2</v>
      </c>
      <c r="E28" s="880">
        <v>2452464.4550000001</v>
      </c>
      <c r="F28" s="875">
        <v>-2.7894323626394959E-2</v>
      </c>
      <c r="G28" s="880">
        <v>2384054.6178099997</v>
      </c>
      <c r="H28" s="875">
        <v>1.3328346591819737E-2</v>
      </c>
      <c r="I28" s="881">
        <v>2415830.1240499998</v>
      </c>
    </row>
    <row r="29" spans="1:9">
      <c r="A29" s="892" t="s">
        <v>578</v>
      </c>
      <c r="B29" s="946" t="s">
        <v>633</v>
      </c>
      <c r="C29" s="944">
        <v>87019381.955519989</v>
      </c>
      <c r="D29" s="893">
        <v>-1.183417078457732E-2</v>
      </c>
      <c r="E29" s="944">
        <v>85989579.72789</v>
      </c>
      <c r="F29" s="893">
        <v>1.7332077962774309E-2</v>
      </c>
      <c r="G29" s="944">
        <v>87479957.827719986</v>
      </c>
      <c r="H29" s="947">
        <v>-3.4980418270821609E-3</v>
      </c>
      <c r="I29" s="883">
        <v>87173949.276207238</v>
      </c>
    </row>
    <row r="30" spans="1:9">
      <c r="A30" s="894" t="s">
        <v>580</v>
      </c>
      <c r="B30" s="895" t="s">
        <v>634</v>
      </c>
      <c r="C30" s="896">
        <v>-471722.74978002906</v>
      </c>
      <c r="D30" s="948">
        <v>0</v>
      </c>
      <c r="E30" s="896">
        <v>-1399870.5084900111</v>
      </c>
      <c r="F30" s="948">
        <v>0</v>
      </c>
      <c r="G30" s="897">
        <v>-1505599.7641100287</v>
      </c>
      <c r="H30" s="898">
        <v>0</v>
      </c>
      <c r="I30" s="899">
        <v>-404945.08777935803</v>
      </c>
    </row>
    <row r="31" spans="1:9">
      <c r="A31" s="900">
        <v>0</v>
      </c>
      <c r="B31" s="885" t="s">
        <v>635</v>
      </c>
      <c r="C31" s="901">
        <v>0</v>
      </c>
      <c r="D31" s="902">
        <v>0</v>
      </c>
      <c r="E31" s="901">
        <v>0</v>
      </c>
      <c r="F31" s="902">
        <v>0</v>
      </c>
      <c r="G31" s="901">
        <v>0</v>
      </c>
      <c r="H31" s="901">
        <v>0</v>
      </c>
      <c r="I31" s="903">
        <v>0</v>
      </c>
    </row>
    <row r="32" spans="1:9">
      <c r="A32" s="888" t="s">
        <v>583</v>
      </c>
      <c r="B32" s="887" t="s">
        <v>636</v>
      </c>
      <c r="C32" s="874">
        <v>4375840.78376</v>
      </c>
      <c r="D32" s="875">
        <v>1.2684266860438081E-2</v>
      </c>
      <c r="E32" s="874">
        <v>4431345.1160000004</v>
      </c>
      <c r="F32" s="875">
        <v>-3.2287335245770668E-2</v>
      </c>
      <c r="G32" s="874">
        <v>4288268.7906499999</v>
      </c>
      <c r="H32" s="875">
        <v>0.16771767010457944</v>
      </c>
      <c r="I32" s="876">
        <v>5007487.2410000004</v>
      </c>
    </row>
    <row r="33" spans="1:9">
      <c r="A33" s="888" t="s">
        <v>585</v>
      </c>
      <c r="B33" s="887" t="s">
        <v>637</v>
      </c>
      <c r="C33" s="874">
        <v>584640.10083000013</v>
      </c>
      <c r="D33" s="875">
        <v>0.28059262260167922</v>
      </c>
      <c r="E33" s="874">
        <v>748685.8</v>
      </c>
      <c r="F33" s="875">
        <v>-6.5611551334351509E-2</v>
      </c>
      <c r="G33" s="874">
        <v>699563.36320000002</v>
      </c>
      <c r="H33" s="875">
        <v>0.5490884128678738</v>
      </c>
      <c r="I33" s="876">
        <v>1083685.5</v>
      </c>
    </row>
    <row r="34" spans="1:9">
      <c r="A34" s="886" t="s">
        <v>587</v>
      </c>
      <c r="B34" s="887" t="s">
        <v>638</v>
      </c>
      <c r="C34" s="874">
        <v>1671554.1384699999</v>
      </c>
      <c r="D34" s="875">
        <v>7.8881502247177257E-2</v>
      </c>
      <c r="E34" s="874">
        <v>1803408.8399999996</v>
      </c>
      <c r="F34" s="875">
        <v>-0.1018750910414743</v>
      </c>
      <c r="G34" s="874">
        <v>1619686.4002400001</v>
      </c>
      <c r="H34" s="875">
        <v>9.1105282935100826E-2</v>
      </c>
      <c r="I34" s="876">
        <v>1767248.3880000003</v>
      </c>
    </row>
    <row r="35" spans="1:9">
      <c r="A35" s="892" t="s">
        <v>589</v>
      </c>
      <c r="B35" s="946" t="s">
        <v>639</v>
      </c>
      <c r="C35" s="944">
        <v>6632035.0230599996</v>
      </c>
      <c r="D35" s="947">
        <v>5.2985958565982282E-2</v>
      </c>
      <c r="E35" s="944">
        <v>6983439.7560000001</v>
      </c>
      <c r="F35" s="947">
        <v>-5.3830378014934128E-2</v>
      </c>
      <c r="G35" s="944">
        <v>6607518.5540900007</v>
      </c>
      <c r="H35" s="947">
        <v>0.18931503024470531</v>
      </c>
      <c r="I35" s="883">
        <v>7858421.1290000007</v>
      </c>
    </row>
    <row r="36" spans="1:9">
      <c r="A36" s="886" t="s">
        <v>591</v>
      </c>
      <c r="B36" s="887" t="s">
        <v>640</v>
      </c>
      <c r="C36" s="874">
        <v>315844.72193</v>
      </c>
      <c r="D36" s="875">
        <v>-0.80908498444573007</v>
      </c>
      <c r="E36" s="874">
        <v>60299.5</v>
      </c>
      <c r="F36" s="875">
        <v>-0.38844277033806252</v>
      </c>
      <c r="G36" s="874">
        <v>36876.595170000001</v>
      </c>
      <c r="H36" s="875">
        <v>3.3331493122769231</v>
      </c>
      <c r="I36" s="876">
        <v>159791.79300000001</v>
      </c>
    </row>
    <row r="37" spans="1:9">
      <c r="A37" s="886" t="s">
        <v>593</v>
      </c>
      <c r="B37" s="887" t="s">
        <v>641</v>
      </c>
      <c r="C37" s="874">
        <v>2182519.8199</v>
      </c>
      <c r="D37" s="875">
        <v>-0.11861361007565177</v>
      </c>
      <c r="E37" s="874">
        <v>1923643.2649999997</v>
      </c>
      <c r="F37" s="875">
        <v>0.26444995929377801</v>
      </c>
      <c r="G37" s="874">
        <v>2432350.6481249998</v>
      </c>
      <c r="H37" s="875">
        <v>-0.15623498915254699</v>
      </c>
      <c r="I37" s="876">
        <v>2052332.3709999998</v>
      </c>
    </row>
    <row r="38" spans="1:9">
      <c r="A38" s="892" t="s">
        <v>595</v>
      </c>
      <c r="B38" s="946" t="s">
        <v>642</v>
      </c>
      <c r="C38" s="944">
        <v>2498364.5418299995</v>
      </c>
      <c r="D38" s="947">
        <v>-0.20590340929718637</v>
      </c>
      <c r="E38" s="944">
        <v>1983942.7649999997</v>
      </c>
      <c r="F38" s="947">
        <v>0.24460608786514126</v>
      </c>
      <c r="G38" s="944">
        <v>2469227.2432950009</v>
      </c>
      <c r="H38" s="947">
        <v>-0.10412289107579907</v>
      </c>
      <c r="I38" s="883">
        <v>2212124.1639999999</v>
      </c>
    </row>
    <row r="39" spans="1:9">
      <c r="A39" s="904" t="s">
        <v>597</v>
      </c>
      <c r="B39" s="905" t="s">
        <v>4</v>
      </c>
      <c r="C39" s="906">
        <v>4133670.4812300005</v>
      </c>
      <c r="D39" s="907">
        <v>0.20945707058690552</v>
      </c>
      <c r="E39" s="906">
        <v>4999496.9910000004</v>
      </c>
      <c r="F39" s="907">
        <v>-0.17225846555270002</v>
      </c>
      <c r="G39" s="906">
        <v>4138291.3107949994</v>
      </c>
      <c r="H39" s="907">
        <v>0.36440297237443686</v>
      </c>
      <c r="I39" s="908">
        <v>5646296.9650000017</v>
      </c>
    </row>
    <row r="40" spans="1:9">
      <c r="A40" s="857">
        <v>0</v>
      </c>
      <c r="B40" s="887" t="s">
        <v>334</v>
      </c>
      <c r="C40" s="874">
        <v>3297610.991179971</v>
      </c>
      <c r="D40" s="875">
        <v>-0.38980901286662017</v>
      </c>
      <c r="E40" s="874">
        <v>2012172.5058899897</v>
      </c>
      <c r="F40" s="875">
        <v>7.0928106184840078E-2</v>
      </c>
      <c r="G40" s="874">
        <v>2154892.0910499706</v>
      </c>
      <c r="H40" s="875">
        <v>0.47968616303520528</v>
      </c>
      <c r="I40" s="876">
        <v>3188564.0099606412</v>
      </c>
    </row>
    <row r="41" spans="1:9">
      <c r="A41" s="857">
        <v>0</v>
      </c>
      <c r="B41" s="887" t="s">
        <v>643</v>
      </c>
      <c r="C41" s="874">
        <v>-836059.49005002948</v>
      </c>
      <c r="D41" s="875">
        <v>2.5731003841978404</v>
      </c>
      <c r="E41" s="874">
        <v>-2987324.485110011</v>
      </c>
      <c r="F41" s="875">
        <v>-0.33606167336991238</v>
      </c>
      <c r="G41" s="874">
        <v>-1983399.2197450288</v>
      </c>
      <c r="H41" s="875">
        <v>0.23915192189866277</v>
      </c>
      <c r="I41" s="876">
        <v>-2457732.9550393606</v>
      </c>
    </row>
    <row r="42" spans="1:9">
      <c r="A42" s="909">
        <v>0</v>
      </c>
      <c r="B42" s="891" t="s">
        <v>644</v>
      </c>
      <c r="C42" s="880">
        <v>85461353.106890023</v>
      </c>
      <c r="D42" s="910">
        <v>2.8284496128755113E-2</v>
      </c>
      <c r="E42" s="880">
        <v>87878584.418000028</v>
      </c>
      <c r="F42" s="910">
        <v>4.8548013728883319E-3</v>
      </c>
      <c r="G42" s="880">
        <v>88305217.490280017</v>
      </c>
      <c r="H42" s="910">
        <v>3.9335701489531744E-3</v>
      </c>
      <c r="I42" s="881">
        <v>88652572.2577966</v>
      </c>
    </row>
    <row r="43" spans="1:9">
      <c r="A43" s="909">
        <v>0</v>
      </c>
      <c r="B43" s="891" t="s">
        <v>6</v>
      </c>
      <c r="C43" s="911">
        <v>0.87393620704007169</v>
      </c>
      <c r="D43" s="912">
        <v>0</v>
      </c>
      <c r="E43" s="911">
        <v>0.5722273565053132</v>
      </c>
      <c r="F43" s="913">
        <v>0</v>
      </c>
      <c r="G43" s="911">
        <v>0.69982691633649363</v>
      </c>
      <c r="H43" s="913">
        <v>0</v>
      </c>
      <c r="I43" s="914">
        <v>0.68724850517751379</v>
      </c>
    </row>
  </sheetData>
  <pageMargins left="0.78740157480314965" right="0.43307086614173229" top="0.98425196850393704" bottom="0.51181102362204722" header="0.51181102362204722" footer="0.23622047244094491"/>
  <pageSetup paperSize="9" scale="89" orientation="landscape" r:id="rId1"/>
  <headerFooter alignWithMargins="0">
    <oddHeader>&amp;LFachgruppe für kantonale Finanzfragen (FkF)
Groupe d'études pour les finances cantonales&amp;CRechnung 2013 - Budget 2015
Compte 2013 - Budget 2015&amp;RZürich, 11.05.2015</oddHeader>
    <oddFooter>&amp;LQuelle: FkF Mai 2015&amp;RBlatt &amp;P /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2">
    <tabColor rgb="FF00B050"/>
  </sheetPr>
  <dimension ref="A1:AJ186"/>
  <sheetViews>
    <sheetView view="pageLayout" zoomScaleNormal="115" workbookViewId="0">
      <selection activeCell="G10" sqref="G10"/>
    </sheetView>
  </sheetViews>
  <sheetFormatPr baseColWidth="10" defaultColWidth="11.42578125" defaultRowHeight="12.75"/>
  <cols>
    <col min="1" max="1" width="15.140625" style="470" customWidth="1"/>
    <col min="2" max="2" width="3.7109375" style="470" customWidth="1"/>
    <col min="3" max="3" width="44.7109375" style="470" customWidth="1"/>
    <col min="4" max="16384" width="11.42578125" style="470"/>
  </cols>
  <sheetData>
    <row r="1" spans="1:36" s="642" customFormat="1" ht="18" customHeight="1">
      <c r="A1" s="752" t="s">
        <v>258</v>
      </c>
      <c r="B1" s="810" t="s">
        <v>523</v>
      </c>
      <c r="C1" s="810" t="s">
        <v>522</v>
      </c>
      <c r="D1" s="643" t="s">
        <v>255</v>
      </c>
      <c r="E1" s="644" t="s">
        <v>254</v>
      </c>
      <c r="F1" s="643" t="s">
        <v>255</v>
      </c>
      <c r="G1" s="644" t="s">
        <v>254</v>
      </c>
      <c r="H1" s="608"/>
      <c r="I1" s="608"/>
      <c r="J1" s="608"/>
      <c r="K1" s="608"/>
      <c r="L1" s="608"/>
      <c r="M1" s="608"/>
      <c r="N1" s="608"/>
      <c r="O1" s="608"/>
      <c r="P1" s="608"/>
      <c r="Q1" s="608"/>
      <c r="R1" s="608"/>
      <c r="S1" s="608"/>
      <c r="T1" s="608"/>
      <c r="U1" s="608"/>
      <c r="V1" s="608"/>
      <c r="W1" s="608"/>
      <c r="X1" s="608"/>
      <c r="Y1" s="608"/>
      <c r="Z1" s="608"/>
      <c r="AA1" s="608"/>
      <c r="AB1" s="608"/>
      <c r="AC1" s="608"/>
      <c r="AD1" s="608"/>
      <c r="AE1" s="608"/>
      <c r="AF1" s="608"/>
      <c r="AG1" s="608"/>
      <c r="AH1" s="608"/>
      <c r="AI1" s="608"/>
      <c r="AJ1" s="608"/>
    </row>
    <row r="2" spans="1:36" s="636" customFormat="1" ht="15" customHeight="1">
      <c r="A2" s="641"/>
      <c r="B2" s="640"/>
      <c r="C2" s="639" t="s">
        <v>253</v>
      </c>
      <c r="D2" s="637">
        <v>2013</v>
      </c>
      <c r="E2" s="638">
        <v>2014</v>
      </c>
      <c r="F2" s="637">
        <v>2014</v>
      </c>
      <c r="G2" s="638">
        <v>2015</v>
      </c>
    </row>
    <row r="3" spans="1:36" ht="15" customHeight="1">
      <c r="A3" s="949" t="s">
        <v>252</v>
      </c>
      <c r="B3" s="950"/>
      <c r="C3" s="950"/>
      <c r="D3" s="512"/>
      <c r="E3" s="635" t="s">
        <v>251</v>
      </c>
      <c r="F3" s="516"/>
      <c r="G3" s="757" t="s">
        <v>251</v>
      </c>
    </row>
    <row r="4" spans="1:36" s="480" customFormat="1" ht="12.75" customHeight="1">
      <c r="A4" s="670">
        <v>30</v>
      </c>
      <c r="B4" s="669"/>
      <c r="C4" s="632" t="s">
        <v>250</v>
      </c>
      <c r="D4" s="411">
        <v>100842.67</v>
      </c>
      <c r="E4" s="453">
        <v>103146.47</v>
      </c>
      <c r="F4" s="411">
        <v>102534.5</v>
      </c>
      <c r="G4" s="453">
        <v>103449.60000000001</v>
      </c>
    </row>
    <row r="5" spans="1:36" s="480" customFormat="1" ht="12.75" customHeight="1">
      <c r="A5" s="591">
        <v>31</v>
      </c>
      <c r="B5" s="587"/>
      <c r="C5" s="585" t="s">
        <v>249</v>
      </c>
      <c r="D5" s="317">
        <v>54521.27</v>
      </c>
      <c r="E5" s="361">
        <v>55030.6</v>
      </c>
      <c r="F5" s="317">
        <v>50006.400000000001</v>
      </c>
      <c r="G5" s="361">
        <v>54853.599999999999</v>
      </c>
    </row>
    <row r="6" spans="1:36" s="480" customFormat="1" ht="12.75" customHeight="1">
      <c r="A6" s="630" t="s">
        <v>248</v>
      </c>
      <c r="B6" s="586"/>
      <c r="C6" s="616" t="s">
        <v>247</v>
      </c>
      <c r="D6" s="322">
        <v>6789.2</v>
      </c>
      <c r="E6" s="321">
        <v>6941.2</v>
      </c>
      <c r="F6" s="322">
        <v>6775.1</v>
      </c>
      <c r="G6" s="361">
        <v>6219.5</v>
      </c>
    </row>
    <row r="7" spans="1:36" s="480" customFormat="1" ht="12.75" customHeight="1">
      <c r="A7" s="630" t="s">
        <v>246</v>
      </c>
      <c r="B7" s="586"/>
      <c r="C7" s="616" t="s">
        <v>245</v>
      </c>
      <c r="D7" s="322">
        <v>-40</v>
      </c>
      <c r="E7" s="321"/>
      <c r="F7" s="322">
        <v>220</v>
      </c>
      <c r="G7" s="361">
        <v>0</v>
      </c>
    </row>
    <row r="8" spans="1:36" s="480" customFormat="1" ht="12.75" customHeight="1">
      <c r="A8" s="593">
        <v>330</v>
      </c>
      <c r="B8" s="587"/>
      <c r="C8" s="585" t="s">
        <v>244</v>
      </c>
      <c r="D8" s="317">
        <v>4930.32</v>
      </c>
      <c r="E8" s="316">
        <v>5686.04</v>
      </c>
      <c r="F8" s="317">
        <v>5326.3</v>
      </c>
      <c r="G8" s="361">
        <v>5753.2</v>
      </c>
    </row>
    <row r="9" spans="1:36" s="480" customFormat="1" ht="12.75" customHeight="1">
      <c r="A9" s="593">
        <v>332</v>
      </c>
      <c r="B9" s="587"/>
      <c r="C9" s="585" t="s">
        <v>243</v>
      </c>
      <c r="D9" s="317">
        <v>671.34</v>
      </c>
      <c r="E9" s="316">
        <v>722.99</v>
      </c>
      <c r="F9" s="317">
        <v>627</v>
      </c>
      <c r="G9" s="361">
        <v>774</v>
      </c>
    </row>
    <row r="10" spans="1:36" s="480" customFormat="1" ht="12.75" customHeight="1">
      <c r="A10" s="593">
        <v>339</v>
      </c>
      <c r="B10" s="587"/>
      <c r="C10" s="585" t="s">
        <v>242</v>
      </c>
      <c r="D10" s="317"/>
      <c r="E10" s="316"/>
      <c r="F10" s="317">
        <v>0</v>
      </c>
      <c r="G10" s="361">
        <v>0</v>
      </c>
    </row>
    <row r="11" spans="1:36" s="480" customFormat="1" ht="12.75" customHeight="1">
      <c r="A11" s="591">
        <v>350</v>
      </c>
      <c r="B11" s="587"/>
      <c r="C11" s="585" t="s">
        <v>241</v>
      </c>
      <c r="D11" s="317">
        <v>499.18</v>
      </c>
      <c r="E11" s="316">
        <v>106.7</v>
      </c>
      <c r="F11" s="317">
        <v>339.7</v>
      </c>
      <c r="G11" s="361">
        <v>253.7</v>
      </c>
    </row>
    <row r="12" spans="1:36" s="579" customFormat="1">
      <c r="A12" s="597">
        <v>351</v>
      </c>
      <c r="B12" s="596"/>
      <c r="C12" s="589" t="s">
        <v>240</v>
      </c>
      <c r="D12" s="450">
        <v>2602.85</v>
      </c>
      <c r="E12" s="400">
        <v>799.3</v>
      </c>
      <c r="F12" s="450">
        <v>2300.8000000000002</v>
      </c>
      <c r="G12" s="361">
        <v>570</v>
      </c>
    </row>
    <row r="13" spans="1:36" s="480" customFormat="1" ht="12.75" customHeight="1">
      <c r="A13" s="591">
        <v>36</v>
      </c>
      <c r="B13" s="587"/>
      <c r="C13" s="585" t="s">
        <v>239</v>
      </c>
      <c r="D13" s="362">
        <v>175088.28</v>
      </c>
      <c r="E13" s="316">
        <v>182645.11</v>
      </c>
      <c r="F13" s="362">
        <v>171041.5</v>
      </c>
      <c r="G13" s="361">
        <v>189598.3</v>
      </c>
    </row>
    <row r="14" spans="1:36" s="480" customFormat="1" ht="12.75" customHeight="1">
      <c r="A14" s="629" t="s">
        <v>238</v>
      </c>
      <c r="B14" s="587"/>
      <c r="C14" s="627" t="s">
        <v>237</v>
      </c>
      <c r="D14" s="362">
        <v>7717.99</v>
      </c>
      <c r="E14" s="316">
        <v>7282</v>
      </c>
      <c r="F14" s="362">
        <v>7213.5</v>
      </c>
      <c r="G14" s="361">
        <v>7488</v>
      </c>
    </row>
    <row r="15" spans="1:36" s="480" customFormat="1" ht="12.75" customHeight="1">
      <c r="A15" s="629" t="s">
        <v>236</v>
      </c>
      <c r="B15" s="587"/>
      <c r="C15" s="627" t="s">
        <v>235</v>
      </c>
      <c r="D15" s="362">
        <v>8419.35</v>
      </c>
      <c r="E15" s="316">
        <v>19056.27</v>
      </c>
      <c r="F15" s="362">
        <v>5786.5</v>
      </c>
      <c r="G15" s="361">
        <v>18283.5</v>
      </c>
    </row>
    <row r="16" spans="1:36" s="626" customFormat="1" ht="26.25" customHeight="1">
      <c r="A16" s="629" t="s">
        <v>234</v>
      </c>
      <c r="B16" s="668"/>
      <c r="C16" s="627" t="s">
        <v>233</v>
      </c>
      <c r="D16" s="444">
        <v>5402.52</v>
      </c>
      <c r="E16" s="443">
        <v>4593.67</v>
      </c>
      <c r="F16" s="444">
        <v>3813.4</v>
      </c>
      <c r="G16" s="361">
        <v>5695.6</v>
      </c>
    </row>
    <row r="17" spans="1:7" s="622" customFormat="1">
      <c r="A17" s="591">
        <v>37</v>
      </c>
      <c r="B17" s="587"/>
      <c r="C17" s="585" t="s">
        <v>211</v>
      </c>
      <c r="D17" s="362">
        <v>27253.52</v>
      </c>
      <c r="E17" s="430">
        <v>30083</v>
      </c>
      <c r="F17" s="362">
        <v>31513.599999999999</v>
      </c>
      <c r="G17" s="361">
        <v>32436.5</v>
      </c>
    </row>
    <row r="18" spans="1:7" s="622" customFormat="1">
      <c r="A18" s="617" t="s">
        <v>232</v>
      </c>
      <c r="B18" s="586"/>
      <c r="C18" s="616" t="s">
        <v>231</v>
      </c>
      <c r="D18" s="362"/>
      <c r="E18" s="430"/>
      <c r="F18" s="362">
        <v>0</v>
      </c>
      <c r="G18" s="361">
        <v>0</v>
      </c>
    </row>
    <row r="19" spans="1:7" s="622" customFormat="1">
      <c r="A19" s="617" t="s">
        <v>230</v>
      </c>
      <c r="B19" s="586"/>
      <c r="C19" s="616" t="s">
        <v>229</v>
      </c>
      <c r="D19" s="362">
        <v>26563.360000000001</v>
      </c>
      <c r="E19" s="430">
        <v>29283</v>
      </c>
      <c r="F19" s="362">
        <v>30729.599999999999</v>
      </c>
      <c r="G19" s="361">
        <v>31616.5</v>
      </c>
    </row>
    <row r="20" spans="1:7" s="480" customFormat="1" ht="12.75" customHeight="1">
      <c r="A20" s="615">
        <v>39</v>
      </c>
      <c r="B20" s="614"/>
      <c r="C20" s="583" t="s">
        <v>228</v>
      </c>
      <c r="D20" s="355">
        <v>17105.759999999998</v>
      </c>
      <c r="E20" s="372">
        <v>16463</v>
      </c>
      <c r="F20" s="355">
        <v>16257.1</v>
      </c>
      <c r="G20" s="354">
        <v>16593.8</v>
      </c>
    </row>
    <row r="21" spans="1:7" ht="12.75" customHeight="1">
      <c r="A21" s="578"/>
      <c r="B21" s="578"/>
      <c r="C21" s="576" t="s">
        <v>227</v>
      </c>
      <c r="D21" s="380">
        <f>D4+D5+SUM(D8:D13)+D17</f>
        <v>366409.43000000005</v>
      </c>
      <c r="E21" s="380">
        <f>E4+E5+SUM(E8:E13)+E17</f>
        <v>378220.20999999996</v>
      </c>
      <c r="F21" s="380">
        <f>F4+F5+SUM(F8:F13)+F17</f>
        <v>363689.79999999993</v>
      </c>
      <c r="G21" s="380">
        <f>G4+G5+SUM(G8:G13)+G17</f>
        <v>387688.9</v>
      </c>
    </row>
    <row r="22" spans="1:7" s="480" customFormat="1" ht="12.75" customHeight="1">
      <c r="A22" s="593" t="s">
        <v>226</v>
      </c>
      <c r="B22" s="587"/>
      <c r="C22" s="585" t="s">
        <v>225</v>
      </c>
      <c r="D22" s="317">
        <f>58031.47+8369.07</f>
        <v>66400.540000000008</v>
      </c>
      <c r="E22" s="316">
        <f>55370+9225</f>
        <v>64595</v>
      </c>
      <c r="F22" s="317">
        <f>60484.4+10000.3</f>
        <v>70484.7</v>
      </c>
      <c r="G22" s="316">
        <f>58835+8012</f>
        <v>66847</v>
      </c>
    </row>
    <row r="23" spans="1:7" s="480" customFormat="1" ht="12.75" customHeight="1">
      <c r="A23" s="593" t="s">
        <v>224</v>
      </c>
      <c r="B23" s="587"/>
      <c r="C23" s="585" t="s">
        <v>223</v>
      </c>
      <c r="D23" s="317">
        <f>10314.49+9358.7</f>
        <v>19673.190000000002</v>
      </c>
      <c r="E23" s="316">
        <f>5500+9396</f>
        <v>14896</v>
      </c>
      <c r="F23" s="317">
        <f>7744.2+9619.2</f>
        <v>17363.400000000001</v>
      </c>
      <c r="G23" s="316">
        <f>7200+9796</f>
        <v>16996</v>
      </c>
    </row>
    <row r="24" spans="1:7" s="621" customFormat="1" ht="12.75" customHeight="1">
      <c r="A24" s="591">
        <v>41</v>
      </c>
      <c r="B24" s="587"/>
      <c r="C24" s="585" t="s">
        <v>222</v>
      </c>
      <c r="D24" s="317">
        <v>29229.54</v>
      </c>
      <c r="E24" s="316">
        <v>30921.5</v>
      </c>
      <c r="F24" s="317">
        <v>25698.1</v>
      </c>
      <c r="G24" s="316">
        <v>34859</v>
      </c>
    </row>
    <row r="25" spans="1:7" s="480" customFormat="1" ht="12.75" customHeight="1">
      <c r="A25" s="620">
        <v>42</v>
      </c>
      <c r="B25" s="619"/>
      <c r="C25" s="585" t="s">
        <v>221</v>
      </c>
      <c r="D25" s="317">
        <v>26303.29</v>
      </c>
      <c r="E25" s="316">
        <v>23820.95</v>
      </c>
      <c r="F25" s="317">
        <v>24219.200000000001</v>
      </c>
      <c r="G25" s="316">
        <v>23505</v>
      </c>
    </row>
    <row r="26" spans="1:7" s="618" customFormat="1" ht="12.75" customHeight="1">
      <c r="A26" s="597">
        <v>430</v>
      </c>
      <c r="B26" s="587"/>
      <c r="C26" s="585" t="s">
        <v>220</v>
      </c>
      <c r="D26" s="431">
        <v>339.48</v>
      </c>
      <c r="E26" s="430">
        <v>200</v>
      </c>
      <c r="F26" s="431">
        <v>200</v>
      </c>
      <c r="G26" s="430">
        <v>3</v>
      </c>
    </row>
    <row r="27" spans="1:7" s="618" customFormat="1" ht="12.75" customHeight="1">
      <c r="A27" s="597">
        <v>431</v>
      </c>
      <c r="B27" s="587"/>
      <c r="C27" s="585" t="s">
        <v>219</v>
      </c>
      <c r="D27" s="431">
        <v>821.02</v>
      </c>
      <c r="E27" s="430">
        <v>771</v>
      </c>
      <c r="F27" s="431">
        <v>746.7</v>
      </c>
      <c r="G27" s="430">
        <v>601</v>
      </c>
    </row>
    <row r="28" spans="1:7" s="618" customFormat="1" ht="12.75" customHeight="1">
      <c r="A28" s="597">
        <v>432</v>
      </c>
      <c r="B28" s="587"/>
      <c r="C28" s="585" t="s">
        <v>218</v>
      </c>
      <c r="D28" s="431"/>
      <c r="E28" s="430"/>
      <c r="F28" s="431">
        <v>0</v>
      </c>
      <c r="G28" s="430">
        <v>0</v>
      </c>
    </row>
    <row r="29" spans="1:7" s="618" customFormat="1" ht="12.75" customHeight="1">
      <c r="A29" s="597">
        <v>439</v>
      </c>
      <c r="B29" s="587"/>
      <c r="C29" s="585" t="s">
        <v>217</v>
      </c>
      <c r="D29" s="431"/>
      <c r="E29" s="430"/>
      <c r="F29" s="431">
        <v>128.1</v>
      </c>
      <c r="G29" s="430">
        <v>0</v>
      </c>
    </row>
    <row r="30" spans="1:7" s="480" customFormat="1" ht="25.5">
      <c r="A30" s="597">
        <v>450</v>
      </c>
      <c r="B30" s="596"/>
      <c r="C30" s="589" t="s">
        <v>216</v>
      </c>
      <c r="D30" s="362">
        <v>147.76</v>
      </c>
      <c r="E30" s="361">
        <v>69.8</v>
      </c>
      <c r="F30" s="362">
        <v>224.6</v>
      </c>
      <c r="G30" s="361">
        <v>220.8</v>
      </c>
    </row>
    <row r="31" spans="1:7" s="579" customFormat="1" ht="25.5">
      <c r="A31" s="597">
        <v>451</v>
      </c>
      <c r="B31" s="596"/>
      <c r="C31" s="589" t="s">
        <v>215</v>
      </c>
      <c r="D31" s="311">
        <v>2620.6</v>
      </c>
      <c r="E31" s="342">
        <v>1387.15</v>
      </c>
      <c r="F31" s="311">
        <v>239.6</v>
      </c>
      <c r="G31" s="342">
        <v>863.6</v>
      </c>
    </row>
    <row r="32" spans="1:7" s="480" customFormat="1" ht="12.75" customHeight="1">
      <c r="A32" s="591">
        <v>46</v>
      </c>
      <c r="B32" s="587"/>
      <c r="C32" s="585" t="s">
        <v>214</v>
      </c>
      <c r="D32" s="317">
        <v>199033</v>
      </c>
      <c r="E32" s="316">
        <v>205814.96</v>
      </c>
      <c r="F32" s="317">
        <v>197514.6</v>
      </c>
      <c r="G32" s="316">
        <v>205451.7</v>
      </c>
    </row>
    <row r="33" spans="1:7" s="579" customFormat="1" ht="12.75" customHeight="1">
      <c r="A33" s="617" t="s">
        <v>213</v>
      </c>
      <c r="B33" s="586"/>
      <c r="C33" s="616" t="s">
        <v>212</v>
      </c>
      <c r="D33" s="317"/>
      <c r="E33" s="321"/>
      <c r="F33" s="317">
        <v>0</v>
      </c>
      <c r="G33" s="321">
        <v>0</v>
      </c>
    </row>
    <row r="34" spans="1:7" s="480" customFormat="1" ht="15" customHeight="1">
      <c r="A34" s="591">
        <v>47</v>
      </c>
      <c r="B34" s="587"/>
      <c r="C34" s="585" t="s">
        <v>211</v>
      </c>
      <c r="D34" s="317">
        <v>27253.52</v>
      </c>
      <c r="E34" s="316">
        <v>30083</v>
      </c>
      <c r="F34" s="317">
        <v>31513.599999999999</v>
      </c>
      <c r="G34" s="316">
        <v>32436.5</v>
      </c>
    </row>
    <row r="35" spans="1:7" s="480" customFormat="1" ht="15" customHeight="1">
      <c r="A35" s="615">
        <v>49</v>
      </c>
      <c r="B35" s="614"/>
      <c r="C35" s="583" t="s">
        <v>210</v>
      </c>
      <c r="D35" s="355">
        <v>17105.759999999998</v>
      </c>
      <c r="E35" s="354">
        <v>16463</v>
      </c>
      <c r="F35" s="355">
        <v>16257.1</v>
      </c>
      <c r="G35" s="354">
        <v>16593.8</v>
      </c>
    </row>
    <row r="36" spans="1:7" ht="13.5" customHeight="1">
      <c r="A36" s="578"/>
      <c r="B36" s="606"/>
      <c r="C36" s="576" t="s">
        <v>209</v>
      </c>
      <c r="D36" s="380">
        <f>D22+D23+D24+D25+D26+D27+D28+D29+D30+D31+D32+D34</f>
        <v>371821.94000000006</v>
      </c>
      <c r="E36" s="380">
        <f>E22+E23+E24+E25+E26+E27+E28+E29+E30+E31+E32+E34</f>
        <v>372559.35999999999</v>
      </c>
      <c r="F36" s="380">
        <f>F22+F23+F24+F25+F26+F27+F28+F29+F30+F31+F32+F34</f>
        <v>368332.60000000003</v>
      </c>
      <c r="G36" s="380">
        <f>G22+G23+G24+G25+G26+G27+G28+G29+G30+G31+G32+G34</f>
        <v>381783.6</v>
      </c>
    </row>
    <row r="37" spans="1:7" s="667" customFormat="1" ht="15" customHeight="1">
      <c r="A37" s="578"/>
      <c r="B37" s="606"/>
      <c r="C37" s="576" t="s">
        <v>208</v>
      </c>
      <c r="D37" s="380">
        <f>D36-D21</f>
        <v>5412.5100000000093</v>
      </c>
      <c r="E37" s="380">
        <f>E36-E21</f>
        <v>-5660.8499999999767</v>
      </c>
      <c r="F37" s="380">
        <f>F36-F21</f>
        <v>4642.8000000001048</v>
      </c>
      <c r="G37" s="380">
        <f>G36-G21</f>
        <v>-5905.3000000000466</v>
      </c>
    </row>
    <row r="38" spans="1:7" s="579" customFormat="1" ht="15" customHeight="1">
      <c r="A38" s="593">
        <v>340</v>
      </c>
      <c r="B38" s="587"/>
      <c r="C38" s="585" t="s">
        <v>207</v>
      </c>
      <c r="D38" s="362">
        <v>1866.43</v>
      </c>
      <c r="E38" s="316">
        <v>1439.6</v>
      </c>
      <c r="F38" s="362">
        <v>1437.3</v>
      </c>
      <c r="G38" s="316">
        <v>1072.7</v>
      </c>
    </row>
    <row r="39" spans="1:7" s="579" customFormat="1" ht="15" customHeight="1">
      <c r="A39" s="593">
        <v>341</v>
      </c>
      <c r="B39" s="587"/>
      <c r="C39" s="585" t="s">
        <v>206</v>
      </c>
      <c r="D39" s="317"/>
      <c r="E39" s="316"/>
      <c r="F39" s="317">
        <v>1.2</v>
      </c>
      <c r="G39" s="316">
        <v>0</v>
      </c>
    </row>
    <row r="40" spans="1:7" s="579" customFormat="1" ht="15" customHeight="1">
      <c r="A40" s="593">
        <v>342</v>
      </c>
      <c r="B40" s="587"/>
      <c r="C40" s="585" t="s">
        <v>205</v>
      </c>
      <c r="D40" s="317"/>
      <c r="E40" s="316"/>
      <c r="F40" s="317">
        <v>0</v>
      </c>
      <c r="G40" s="316">
        <v>0</v>
      </c>
    </row>
    <row r="41" spans="1:7" s="579" customFormat="1" ht="15" customHeight="1">
      <c r="A41" s="593">
        <v>343</v>
      </c>
      <c r="B41" s="587"/>
      <c r="C41" s="585" t="s">
        <v>204</v>
      </c>
      <c r="D41" s="317">
        <v>127.98</v>
      </c>
      <c r="E41" s="316">
        <v>94</v>
      </c>
      <c r="F41" s="317">
        <v>101.5</v>
      </c>
      <c r="G41" s="316">
        <v>95</v>
      </c>
    </row>
    <row r="42" spans="1:7" s="579" customFormat="1" ht="15" customHeight="1">
      <c r="A42" s="593">
        <v>344</v>
      </c>
      <c r="B42" s="587"/>
      <c r="C42" s="585" t="s">
        <v>198</v>
      </c>
      <c r="D42" s="317">
        <v>981.75</v>
      </c>
      <c r="E42" s="316"/>
      <c r="F42" s="317">
        <v>2015.6</v>
      </c>
      <c r="G42" s="316">
        <v>0</v>
      </c>
    </row>
    <row r="43" spans="1:7" s="579" customFormat="1" ht="15" customHeight="1">
      <c r="A43" s="593">
        <v>349</v>
      </c>
      <c r="B43" s="587"/>
      <c r="C43" s="585" t="s">
        <v>203</v>
      </c>
      <c r="D43" s="317"/>
      <c r="E43" s="316"/>
      <c r="F43" s="317">
        <v>0</v>
      </c>
      <c r="G43" s="316">
        <v>0</v>
      </c>
    </row>
    <row r="44" spans="1:7" s="480" customFormat="1" ht="15" customHeight="1">
      <c r="A44" s="591">
        <v>440</v>
      </c>
      <c r="B44" s="587"/>
      <c r="C44" s="585" t="s">
        <v>202</v>
      </c>
      <c r="D44" s="362">
        <v>431.63</v>
      </c>
      <c r="E44" s="316">
        <v>291</v>
      </c>
      <c r="F44" s="362">
        <v>386.9</v>
      </c>
      <c r="G44" s="316">
        <v>330.1</v>
      </c>
    </row>
    <row r="45" spans="1:7" s="480" customFormat="1" ht="15" customHeight="1">
      <c r="A45" s="591">
        <v>441</v>
      </c>
      <c r="B45" s="587"/>
      <c r="C45" s="585" t="s">
        <v>201</v>
      </c>
      <c r="D45" s="362">
        <v>113.63</v>
      </c>
      <c r="E45" s="316">
        <v>1500</v>
      </c>
      <c r="F45" s="362">
        <v>337.1</v>
      </c>
      <c r="G45" s="316">
        <v>0</v>
      </c>
    </row>
    <row r="46" spans="1:7" s="480" customFormat="1" ht="15" customHeight="1">
      <c r="A46" s="591">
        <v>442</v>
      </c>
      <c r="B46" s="587"/>
      <c r="C46" s="585" t="s">
        <v>200</v>
      </c>
      <c r="D46" s="362">
        <v>143.78</v>
      </c>
      <c r="E46" s="316">
        <v>151.69999999999999</v>
      </c>
      <c r="F46" s="362">
        <v>148</v>
      </c>
      <c r="G46" s="316">
        <v>151.69999999999999</v>
      </c>
    </row>
    <row r="47" spans="1:7" s="480" customFormat="1" ht="15" customHeight="1">
      <c r="A47" s="591">
        <v>443</v>
      </c>
      <c r="B47" s="587"/>
      <c r="C47" s="585" t="s">
        <v>199</v>
      </c>
      <c r="D47" s="362">
        <v>265.55599999999998</v>
      </c>
      <c r="E47" s="316">
        <v>270.56</v>
      </c>
      <c r="F47" s="362">
        <v>278.5</v>
      </c>
      <c r="G47" s="316">
        <v>270.60000000000002</v>
      </c>
    </row>
    <row r="48" spans="1:7" s="480" customFormat="1" ht="15" customHeight="1">
      <c r="A48" s="591">
        <v>444</v>
      </c>
      <c r="B48" s="587"/>
      <c r="C48" s="585" t="s">
        <v>198</v>
      </c>
      <c r="D48" s="362">
        <v>85.91</v>
      </c>
      <c r="E48" s="316"/>
      <c r="F48" s="362">
        <v>2175.3000000000002</v>
      </c>
      <c r="G48" s="316">
        <v>0</v>
      </c>
    </row>
    <row r="49" spans="1:7" s="480" customFormat="1" ht="15" customHeight="1">
      <c r="A49" s="591">
        <v>445</v>
      </c>
      <c r="B49" s="587"/>
      <c r="C49" s="585" t="s">
        <v>197</v>
      </c>
      <c r="D49" s="362">
        <v>120.41</v>
      </c>
      <c r="E49" s="316">
        <v>114.5</v>
      </c>
      <c r="F49" s="362">
        <v>120.2</v>
      </c>
      <c r="G49" s="316">
        <v>115</v>
      </c>
    </row>
    <row r="50" spans="1:7" s="480" customFormat="1" ht="15" customHeight="1">
      <c r="A50" s="591">
        <v>446</v>
      </c>
      <c r="B50" s="587"/>
      <c r="C50" s="585" t="s">
        <v>196</v>
      </c>
      <c r="D50" s="362">
        <v>8427.56</v>
      </c>
      <c r="E50" s="316">
        <v>8388.7999999999993</v>
      </c>
      <c r="F50" s="362">
        <v>8456.4</v>
      </c>
      <c r="G50" s="316">
        <v>8610.7999999999993</v>
      </c>
    </row>
    <row r="51" spans="1:7" s="480" customFormat="1" ht="15" customHeight="1">
      <c r="A51" s="591">
        <v>447</v>
      </c>
      <c r="B51" s="587"/>
      <c r="C51" s="585" t="s">
        <v>195</v>
      </c>
      <c r="D51" s="362">
        <v>2899.16</v>
      </c>
      <c r="E51" s="316">
        <v>2928.17</v>
      </c>
      <c r="F51" s="362">
        <v>2929.5</v>
      </c>
      <c r="G51" s="316">
        <v>2971.5</v>
      </c>
    </row>
    <row r="52" spans="1:7" s="480" customFormat="1" ht="15" customHeight="1">
      <c r="A52" s="591">
        <v>448</v>
      </c>
      <c r="B52" s="587"/>
      <c r="C52" s="585" t="s">
        <v>194</v>
      </c>
      <c r="D52" s="362">
        <v>14.96</v>
      </c>
      <c r="E52" s="316">
        <v>15</v>
      </c>
      <c r="F52" s="362">
        <v>13.4</v>
      </c>
      <c r="G52" s="316">
        <v>15.2</v>
      </c>
    </row>
    <row r="53" spans="1:7" s="480" customFormat="1" ht="15" customHeight="1">
      <c r="A53" s="591">
        <v>449</v>
      </c>
      <c r="B53" s="587"/>
      <c r="C53" s="585" t="s">
        <v>193</v>
      </c>
      <c r="D53" s="362">
        <v>649.6</v>
      </c>
      <c r="E53" s="316"/>
      <c r="F53" s="362">
        <v>0</v>
      </c>
      <c r="G53" s="316">
        <v>0</v>
      </c>
    </row>
    <row r="54" spans="1:7" s="579" customFormat="1" ht="13.5" customHeight="1">
      <c r="A54" s="607" t="s">
        <v>192</v>
      </c>
      <c r="B54" s="580"/>
      <c r="C54" s="580" t="s">
        <v>191</v>
      </c>
      <c r="D54" s="418"/>
      <c r="E54" s="299"/>
      <c r="F54" s="418">
        <v>0</v>
      </c>
      <c r="G54" s="299">
        <v>0</v>
      </c>
    </row>
    <row r="55" spans="1:7" ht="15" customHeight="1">
      <c r="A55" s="606"/>
      <c r="B55" s="606"/>
      <c r="C55" s="576" t="s">
        <v>55</v>
      </c>
      <c r="D55" s="380">
        <f>SUM(D44:D53)-SUM(D38:D43)</f>
        <v>10176.035999999998</v>
      </c>
      <c r="E55" s="380">
        <f>SUM(E44:E53)-SUM(E38:E43)</f>
        <v>12126.13</v>
      </c>
      <c r="F55" s="380">
        <f>SUM(F44:F53)-SUM(F38:F43)</f>
        <v>11289.699999999999</v>
      </c>
      <c r="G55" s="380">
        <f>SUM(G44:G53)-SUM(G38:G43)</f>
        <v>11297.199999999999</v>
      </c>
    </row>
    <row r="56" spans="1:7" ht="14.25" customHeight="1">
      <c r="A56" s="606"/>
      <c r="B56" s="606"/>
      <c r="C56" s="576" t="s">
        <v>190</v>
      </c>
      <c r="D56" s="380">
        <f>D55+D37</f>
        <v>15588.546000000008</v>
      </c>
      <c r="E56" s="380">
        <f>E55+E37</f>
        <v>6465.2800000000225</v>
      </c>
      <c r="F56" s="380">
        <f>F55+F37</f>
        <v>15932.500000000104</v>
      </c>
      <c r="G56" s="380">
        <f>G55+G37</f>
        <v>5391.8999999999523</v>
      </c>
    </row>
    <row r="57" spans="1:7" s="480" customFormat="1" ht="15.75" customHeight="1">
      <c r="A57" s="605">
        <v>380</v>
      </c>
      <c r="B57" s="604"/>
      <c r="C57" s="603" t="s">
        <v>189</v>
      </c>
      <c r="D57" s="735"/>
      <c r="E57" s="801"/>
      <c r="F57" s="735"/>
      <c r="G57" s="801"/>
    </row>
    <row r="58" spans="1:7" s="480" customFormat="1" ht="15.75" customHeight="1">
      <c r="A58" s="605">
        <v>381</v>
      </c>
      <c r="B58" s="604"/>
      <c r="C58" s="603" t="s">
        <v>188</v>
      </c>
      <c r="D58" s="735"/>
      <c r="E58" s="801"/>
      <c r="F58" s="735"/>
      <c r="G58" s="801"/>
    </row>
    <row r="59" spans="1:7" s="579" customFormat="1" ht="25.5">
      <c r="A59" s="597">
        <v>383</v>
      </c>
      <c r="B59" s="596"/>
      <c r="C59" s="589" t="s">
        <v>187</v>
      </c>
      <c r="D59" s="343"/>
      <c r="E59" s="563"/>
      <c r="F59" s="343"/>
      <c r="G59" s="563"/>
    </row>
    <row r="60" spans="1:7" s="579" customFormat="1">
      <c r="A60" s="597">
        <v>3840</v>
      </c>
      <c r="B60" s="596"/>
      <c r="C60" s="589" t="s">
        <v>186</v>
      </c>
      <c r="D60" s="401"/>
      <c r="E60" s="400"/>
      <c r="F60" s="401"/>
      <c r="G60" s="400"/>
    </row>
    <row r="61" spans="1:7" s="579" customFormat="1">
      <c r="A61" s="597">
        <v>3841</v>
      </c>
      <c r="B61" s="596"/>
      <c r="C61" s="589" t="s">
        <v>185</v>
      </c>
      <c r="D61" s="401"/>
      <c r="E61" s="400"/>
      <c r="F61" s="401"/>
      <c r="G61" s="400"/>
    </row>
    <row r="62" spans="1:7" s="579" customFormat="1">
      <c r="A62" s="600">
        <v>386</v>
      </c>
      <c r="B62" s="599"/>
      <c r="C62" s="598" t="s">
        <v>184</v>
      </c>
      <c r="D62" s="401"/>
      <c r="E62" s="400"/>
      <c r="F62" s="401"/>
      <c r="G62" s="400"/>
    </row>
    <row r="63" spans="1:7" s="579" customFormat="1" ht="25.5">
      <c r="A63" s="597">
        <v>387</v>
      </c>
      <c r="B63" s="596"/>
      <c r="C63" s="589" t="s">
        <v>183</v>
      </c>
      <c r="D63" s="401"/>
      <c r="E63" s="400"/>
      <c r="F63" s="401"/>
      <c r="G63" s="400"/>
    </row>
    <row r="64" spans="1:7" s="579" customFormat="1">
      <c r="A64" s="593">
        <v>389</v>
      </c>
      <c r="B64" s="592"/>
      <c r="C64" s="585" t="s">
        <v>182</v>
      </c>
      <c r="D64" s="317"/>
      <c r="E64" s="316"/>
      <c r="F64" s="317"/>
      <c r="G64" s="316"/>
    </row>
    <row r="65" spans="1:7" s="480" customFormat="1">
      <c r="A65" s="593" t="s">
        <v>181</v>
      </c>
      <c r="B65" s="587"/>
      <c r="C65" s="585" t="s">
        <v>180</v>
      </c>
      <c r="D65" s="317"/>
      <c r="E65" s="316"/>
      <c r="F65" s="317"/>
      <c r="G65" s="316"/>
    </row>
    <row r="66" spans="1:7" s="588" customFormat="1">
      <c r="A66" s="666" t="s">
        <v>179</v>
      </c>
      <c r="B66" s="590"/>
      <c r="C66" s="589" t="s">
        <v>178</v>
      </c>
      <c r="D66" s="343"/>
      <c r="E66" s="342"/>
      <c r="F66" s="343"/>
      <c r="G66" s="342"/>
    </row>
    <row r="67" spans="1:7" s="480" customFormat="1">
      <c r="A67" s="584">
        <v>481</v>
      </c>
      <c r="B67" s="587"/>
      <c r="C67" s="585" t="s">
        <v>177</v>
      </c>
      <c r="D67" s="317"/>
      <c r="E67" s="316"/>
      <c r="F67" s="317"/>
      <c r="G67" s="316"/>
    </row>
    <row r="68" spans="1:7" s="480" customFormat="1">
      <c r="A68" s="584">
        <v>482</v>
      </c>
      <c r="B68" s="587"/>
      <c r="C68" s="585" t="s">
        <v>176</v>
      </c>
      <c r="D68" s="317"/>
      <c r="E68" s="316"/>
      <c r="F68" s="317"/>
      <c r="G68" s="316"/>
    </row>
    <row r="69" spans="1:7" s="480" customFormat="1">
      <c r="A69" s="584">
        <v>483</v>
      </c>
      <c r="B69" s="587"/>
      <c r="C69" s="585" t="s">
        <v>175</v>
      </c>
      <c r="D69" s="317"/>
      <c r="E69" s="316"/>
      <c r="F69" s="317"/>
      <c r="G69" s="316"/>
    </row>
    <row r="70" spans="1:7" s="480" customFormat="1">
      <c r="A70" s="584">
        <v>484</v>
      </c>
      <c r="B70" s="587"/>
      <c r="C70" s="585" t="s">
        <v>174</v>
      </c>
      <c r="D70" s="317"/>
      <c r="E70" s="316"/>
      <c r="F70" s="317"/>
      <c r="G70" s="316"/>
    </row>
    <row r="71" spans="1:7" s="480" customFormat="1">
      <c r="A71" s="584">
        <v>485</v>
      </c>
      <c r="B71" s="587"/>
      <c r="C71" s="585" t="s">
        <v>173</v>
      </c>
      <c r="D71" s="317">
        <v>6371.85</v>
      </c>
      <c r="E71" s="316"/>
      <c r="F71" s="317"/>
      <c r="G71" s="316"/>
    </row>
    <row r="72" spans="1:7" s="480" customFormat="1">
      <c r="A72" s="584">
        <v>486</v>
      </c>
      <c r="B72" s="587"/>
      <c r="C72" s="585" t="s">
        <v>172</v>
      </c>
      <c r="D72" s="317"/>
      <c r="E72" s="316"/>
      <c r="F72" s="317"/>
      <c r="G72" s="316"/>
    </row>
    <row r="73" spans="1:7" s="579" customFormat="1">
      <c r="A73" s="584">
        <v>487</v>
      </c>
      <c r="B73" s="586"/>
      <c r="C73" s="585" t="s">
        <v>171</v>
      </c>
      <c r="D73" s="317"/>
      <c r="E73" s="361"/>
      <c r="F73" s="317"/>
      <c r="G73" s="361"/>
    </row>
    <row r="74" spans="1:7" s="579" customFormat="1">
      <c r="A74" s="584">
        <v>489</v>
      </c>
      <c r="B74" s="581"/>
      <c r="C74" s="583" t="s">
        <v>170</v>
      </c>
      <c r="D74" s="317"/>
      <c r="E74" s="361"/>
      <c r="F74" s="317"/>
      <c r="G74" s="361"/>
    </row>
    <row r="75" spans="1:7" s="579" customFormat="1">
      <c r="A75" s="582" t="s">
        <v>169</v>
      </c>
      <c r="B75" s="581"/>
      <c r="C75" s="580" t="s">
        <v>168</v>
      </c>
      <c r="D75" s="317"/>
      <c r="E75" s="316"/>
      <c r="F75" s="317"/>
      <c r="G75" s="316"/>
    </row>
    <row r="76" spans="1:7">
      <c r="A76" s="578"/>
      <c r="B76" s="578"/>
      <c r="C76" s="576" t="s">
        <v>167</v>
      </c>
      <c r="D76" s="380">
        <f>SUM(D65:D74)-SUM(D57:D64)</f>
        <v>6371.85</v>
      </c>
      <c r="E76" s="380">
        <f>SUM(E65:E74)-SUM(E57:E64)</f>
        <v>0</v>
      </c>
      <c r="F76" s="380">
        <f>SUM(F65:F74)-SUM(F57:F64)</f>
        <v>0</v>
      </c>
      <c r="G76" s="380">
        <f>SUM(G65:G74)-SUM(G57:G64)</f>
        <v>0</v>
      </c>
    </row>
    <row r="77" spans="1:7">
      <c r="A77" s="577"/>
      <c r="B77" s="577"/>
      <c r="C77" s="576" t="s">
        <v>166</v>
      </c>
      <c r="D77" s="380">
        <f>D56+D76</f>
        <v>21960.396000000008</v>
      </c>
      <c r="E77" s="380">
        <f>E56+E76</f>
        <v>6465.2800000000225</v>
      </c>
      <c r="F77" s="380">
        <f>F56+F76</f>
        <v>15932.500000000104</v>
      </c>
      <c r="G77" s="380">
        <f>G56+G76</f>
        <v>5391.8999999999523</v>
      </c>
    </row>
    <row r="78" spans="1:7">
      <c r="A78" s="575">
        <v>3</v>
      </c>
      <c r="B78" s="575"/>
      <c r="C78" s="574" t="s">
        <v>165</v>
      </c>
      <c r="D78" s="377">
        <f>D20+D21+SUM(D38:D43)+SUM(D57:D64)</f>
        <v>386491.35000000003</v>
      </c>
      <c r="E78" s="377">
        <f>E20+E21+SUM(E38:E43)+SUM(E57:E64)</f>
        <v>396216.80999999994</v>
      </c>
      <c r="F78" s="377">
        <f>F20+F21+SUM(F38:F43)+SUM(F57:F64)</f>
        <v>383502.49999999988</v>
      </c>
      <c r="G78" s="377">
        <f>G20+G21+SUM(G38:G43)+SUM(G57:G64)</f>
        <v>405450.4</v>
      </c>
    </row>
    <row r="79" spans="1:7">
      <c r="A79" s="575">
        <v>4</v>
      </c>
      <c r="B79" s="575"/>
      <c r="C79" s="574" t="s">
        <v>164</v>
      </c>
      <c r="D79" s="377">
        <f>D35+D36+SUM(D44:D53)+SUM(D65:D74)</f>
        <v>408451.74600000004</v>
      </c>
      <c r="E79" s="377">
        <f>E35+E36+SUM(E44:E53)+SUM(E65:E74)</f>
        <v>402682.08999999997</v>
      </c>
      <c r="F79" s="377">
        <f>F35+F36+SUM(F44:F53)+SUM(F65:F74)</f>
        <v>399435</v>
      </c>
      <c r="G79" s="377">
        <f>G35+G36+SUM(G44:G53)+SUM(G65:G74)</f>
        <v>410842.3</v>
      </c>
    </row>
    <row r="80" spans="1:7">
      <c r="A80" s="534"/>
      <c r="B80" s="534"/>
      <c r="C80" s="533"/>
      <c r="D80" s="260"/>
      <c r="E80" s="260"/>
      <c r="F80" s="260"/>
      <c r="G80" s="260"/>
    </row>
    <row r="81" spans="1:7">
      <c r="A81" s="951" t="s">
        <v>163</v>
      </c>
      <c r="B81" s="952"/>
      <c r="C81" s="952"/>
      <c r="D81" s="376"/>
      <c r="E81" s="375"/>
      <c r="F81" s="376"/>
      <c r="G81" s="375"/>
    </row>
    <row r="82" spans="1:7" s="480" customFormat="1">
      <c r="A82" s="567">
        <v>50</v>
      </c>
      <c r="B82" s="565"/>
      <c r="C82" s="565" t="s">
        <v>162</v>
      </c>
      <c r="D82" s="317">
        <v>29446.03</v>
      </c>
      <c r="E82" s="316">
        <v>25988</v>
      </c>
      <c r="F82" s="317">
        <v>26696.2</v>
      </c>
      <c r="G82" s="316">
        <v>21035</v>
      </c>
    </row>
    <row r="83" spans="1:7" s="480" customFormat="1">
      <c r="A83" s="567">
        <v>51</v>
      </c>
      <c r="B83" s="565"/>
      <c r="C83" s="565" t="s">
        <v>161</v>
      </c>
      <c r="D83" s="317">
        <v>24.98</v>
      </c>
      <c r="E83" s="316"/>
      <c r="F83" s="317">
        <v>25</v>
      </c>
      <c r="G83" s="316">
        <v>0</v>
      </c>
    </row>
    <row r="84" spans="1:7" s="480" customFormat="1">
      <c r="A84" s="567">
        <v>52</v>
      </c>
      <c r="B84" s="565"/>
      <c r="C84" s="565" t="s">
        <v>160</v>
      </c>
      <c r="D84" s="317">
        <v>482.75</v>
      </c>
      <c r="E84" s="316">
        <v>339.5</v>
      </c>
      <c r="F84" s="317">
        <v>287.2</v>
      </c>
      <c r="G84" s="316">
        <v>439.5</v>
      </c>
    </row>
    <row r="85" spans="1:7" s="480" customFormat="1">
      <c r="A85" s="571">
        <v>54</v>
      </c>
      <c r="B85" s="570"/>
      <c r="C85" s="570" t="s">
        <v>117</v>
      </c>
      <c r="D85" s="317">
        <v>476.37</v>
      </c>
      <c r="E85" s="316">
        <v>28208.3</v>
      </c>
      <c r="F85" s="317">
        <v>1042.9000000000001</v>
      </c>
      <c r="G85" s="316">
        <v>21937.7</v>
      </c>
    </row>
    <row r="86" spans="1:7" s="480" customFormat="1">
      <c r="A86" s="571">
        <v>55</v>
      </c>
      <c r="B86" s="570"/>
      <c r="C86" s="570" t="s">
        <v>159</v>
      </c>
      <c r="D86" s="317"/>
      <c r="E86" s="316"/>
      <c r="F86" s="317">
        <v>210</v>
      </c>
      <c r="G86" s="316">
        <v>690</v>
      </c>
    </row>
    <row r="87" spans="1:7" s="480" customFormat="1">
      <c r="A87" s="571">
        <v>56</v>
      </c>
      <c r="B87" s="570"/>
      <c r="C87" s="570" t="s">
        <v>158</v>
      </c>
      <c r="D87" s="317">
        <v>14644.5</v>
      </c>
      <c r="E87" s="316">
        <v>12929</v>
      </c>
      <c r="F87" s="317">
        <v>12052.8</v>
      </c>
      <c r="G87" s="316">
        <v>12484</v>
      </c>
    </row>
    <row r="88" spans="1:7" s="480" customFormat="1">
      <c r="A88" s="567">
        <v>57</v>
      </c>
      <c r="B88" s="565"/>
      <c r="C88" s="565" t="s">
        <v>143</v>
      </c>
      <c r="D88" s="317">
        <v>1667.14</v>
      </c>
      <c r="E88" s="316">
        <v>1736.7</v>
      </c>
      <c r="F88" s="317">
        <v>1791.3</v>
      </c>
      <c r="G88" s="316">
        <v>1970</v>
      </c>
    </row>
    <row r="89" spans="1:7" s="480" customFormat="1">
      <c r="A89" s="567">
        <v>580</v>
      </c>
      <c r="B89" s="565"/>
      <c r="C89" s="565" t="s">
        <v>157</v>
      </c>
      <c r="D89" s="317"/>
      <c r="E89" s="316"/>
      <c r="F89" s="317"/>
      <c r="G89" s="316">
        <v>0</v>
      </c>
    </row>
    <row r="90" spans="1:7" s="480" customFormat="1">
      <c r="A90" s="567">
        <v>582</v>
      </c>
      <c r="B90" s="565"/>
      <c r="C90" s="565" t="s">
        <v>156</v>
      </c>
      <c r="D90" s="317"/>
      <c r="E90" s="316"/>
      <c r="F90" s="317"/>
      <c r="G90" s="316">
        <v>0</v>
      </c>
    </row>
    <row r="91" spans="1:7" s="480" customFormat="1">
      <c r="A91" s="567">
        <v>584</v>
      </c>
      <c r="B91" s="565"/>
      <c r="C91" s="565" t="s">
        <v>155</v>
      </c>
      <c r="D91" s="317"/>
      <c r="E91" s="316"/>
      <c r="F91" s="317"/>
      <c r="G91" s="316">
        <v>0</v>
      </c>
    </row>
    <row r="92" spans="1:7" s="480" customFormat="1">
      <c r="A92" s="567">
        <v>585</v>
      </c>
      <c r="B92" s="565"/>
      <c r="C92" s="565" t="s">
        <v>154</v>
      </c>
      <c r="D92" s="317"/>
      <c r="E92" s="316"/>
      <c r="F92" s="317"/>
      <c r="G92" s="316">
        <v>0</v>
      </c>
    </row>
    <row r="93" spans="1:7" s="480" customFormat="1">
      <c r="A93" s="567">
        <v>586</v>
      </c>
      <c r="B93" s="565"/>
      <c r="C93" s="565" t="s">
        <v>153</v>
      </c>
      <c r="D93" s="317"/>
      <c r="E93" s="316"/>
      <c r="F93" s="317"/>
      <c r="G93" s="316">
        <v>0</v>
      </c>
    </row>
    <row r="94" spans="1:7" s="480" customFormat="1">
      <c r="A94" s="568">
        <v>589</v>
      </c>
      <c r="B94" s="561"/>
      <c r="C94" s="561" t="s">
        <v>152</v>
      </c>
      <c r="D94" s="333"/>
      <c r="E94" s="372"/>
      <c r="F94" s="333"/>
      <c r="G94" s="372">
        <v>0</v>
      </c>
    </row>
    <row r="95" spans="1:7">
      <c r="A95" s="557">
        <v>5</v>
      </c>
      <c r="B95" s="555"/>
      <c r="C95" s="555" t="s">
        <v>151</v>
      </c>
      <c r="D95" s="348">
        <f>SUM(D82:D94)</f>
        <v>46741.77</v>
      </c>
      <c r="E95" s="348">
        <f>SUM(E82:E94)</f>
        <v>69201.5</v>
      </c>
      <c r="F95" s="348">
        <f>SUM(F82:F94)</f>
        <v>42105.400000000009</v>
      </c>
      <c r="G95" s="348">
        <f>SUM(G82:G94)</f>
        <v>58556.2</v>
      </c>
    </row>
    <row r="96" spans="1:7" s="480" customFormat="1">
      <c r="A96" s="567">
        <v>60</v>
      </c>
      <c r="B96" s="565"/>
      <c r="C96" s="565" t="s">
        <v>150</v>
      </c>
      <c r="D96" s="317">
        <v>825.75</v>
      </c>
      <c r="E96" s="316"/>
      <c r="F96" s="317">
        <v>0</v>
      </c>
      <c r="G96" s="316">
        <v>0</v>
      </c>
    </row>
    <row r="97" spans="1:7" s="480" customFormat="1">
      <c r="A97" s="567">
        <v>61</v>
      </c>
      <c r="B97" s="565"/>
      <c r="C97" s="565" t="s">
        <v>149</v>
      </c>
      <c r="D97" s="317">
        <v>24.98</v>
      </c>
      <c r="E97" s="316"/>
      <c r="F97" s="317">
        <v>25</v>
      </c>
      <c r="G97" s="316">
        <v>0</v>
      </c>
    </row>
    <row r="98" spans="1:7" s="480" customFormat="1">
      <c r="A98" s="567">
        <v>62</v>
      </c>
      <c r="B98" s="565"/>
      <c r="C98" s="565" t="s">
        <v>148</v>
      </c>
      <c r="D98" s="317"/>
      <c r="E98" s="316"/>
      <c r="F98" s="317">
        <v>0</v>
      </c>
      <c r="G98" s="316">
        <v>0</v>
      </c>
    </row>
    <row r="99" spans="1:7" s="480" customFormat="1">
      <c r="A99" s="567">
        <v>63</v>
      </c>
      <c r="B99" s="565"/>
      <c r="C99" s="565" t="s">
        <v>147</v>
      </c>
      <c r="D99" s="317">
        <v>22945.02</v>
      </c>
      <c r="E99" s="316">
        <v>17136</v>
      </c>
      <c r="F99" s="317">
        <v>14502.4</v>
      </c>
      <c r="G99" s="316">
        <v>11319.4</v>
      </c>
    </row>
    <row r="100" spans="1:7" s="480" customFormat="1">
      <c r="A100" s="567">
        <v>64</v>
      </c>
      <c r="B100" s="565"/>
      <c r="C100" s="565" t="s">
        <v>146</v>
      </c>
      <c r="D100" s="317">
        <v>689.49</v>
      </c>
      <c r="E100" s="316">
        <v>28118.3</v>
      </c>
      <c r="F100" s="317">
        <v>1006.7</v>
      </c>
      <c r="G100" s="316">
        <v>21849.7</v>
      </c>
    </row>
    <row r="101" spans="1:7" s="480" customFormat="1">
      <c r="A101" s="567">
        <v>65</v>
      </c>
      <c r="B101" s="565"/>
      <c r="C101" s="565" t="s">
        <v>145</v>
      </c>
      <c r="D101" s="317"/>
      <c r="E101" s="316"/>
      <c r="F101" s="317">
        <v>6</v>
      </c>
      <c r="G101" s="316">
        <v>0</v>
      </c>
    </row>
    <row r="102" spans="1:7" s="480" customFormat="1">
      <c r="A102" s="567">
        <v>66</v>
      </c>
      <c r="B102" s="565"/>
      <c r="C102" s="565" t="s">
        <v>144</v>
      </c>
      <c r="D102" s="317"/>
      <c r="E102" s="316"/>
      <c r="F102" s="317">
        <v>0</v>
      </c>
      <c r="G102" s="316">
        <v>0</v>
      </c>
    </row>
    <row r="103" spans="1:7" s="480" customFormat="1">
      <c r="A103" s="567">
        <v>67</v>
      </c>
      <c r="B103" s="565"/>
      <c r="C103" s="565" t="s">
        <v>143</v>
      </c>
      <c r="D103" s="362">
        <v>1667.14</v>
      </c>
      <c r="E103" s="361">
        <v>1736.7</v>
      </c>
      <c r="F103" s="362">
        <v>1791.3</v>
      </c>
      <c r="G103" s="361">
        <v>1970</v>
      </c>
    </row>
    <row r="104" spans="1:7" s="480" customFormat="1" ht="25.5">
      <c r="A104" s="566" t="s">
        <v>142</v>
      </c>
      <c r="B104" s="565"/>
      <c r="C104" s="564" t="s">
        <v>141</v>
      </c>
      <c r="D104" s="362"/>
      <c r="E104" s="361"/>
      <c r="F104" s="362"/>
      <c r="G104" s="361"/>
    </row>
    <row r="105" spans="1:7" s="480" customFormat="1" ht="38.25">
      <c r="A105" s="562" t="s">
        <v>140</v>
      </c>
      <c r="B105" s="561"/>
      <c r="C105" s="560" t="s">
        <v>139</v>
      </c>
      <c r="D105" s="355"/>
      <c r="E105" s="354"/>
      <c r="F105" s="355"/>
      <c r="G105" s="354"/>
    </row>
    <row r="106" spans="1:7">
      <c r="A106" s="557">
        <v>6</v>
      </c>
      <c r="B106" s="555"/>
      <c r="C106" s="555" t="s">
        <v>138</v>
      </c>
      <c r="D106" s="348">
        <f>SUM(D96:D105)</f>
        <v>26152.38</v>
      </c>
      <c r="E106" s="348">
        <f>SUM(E96:E105)</f>
        <v>46991</v>
      </c>
      <c r="F106" s="348">
        <f>SUM(F96:F105)</f>
        <v>17331.400000000001</v>
      </c>
      <c r="G106" s="348">
        <f>SUM(G96:G105)</f>
        <v>35139.1</v>
      </c>
    </row>
    <row r="107" spans="1:7">
      <c r="A107" s="556" t="s">
        <v>137</v>
      </c>
      <c r="B107" s="556"/>
      <c r="C107" s="555" t="s">
        <v>3</v>
      </c>
      <c r="D107" s="348">
        <f>(D95-D88)-(D106-D103)</f>
        <v>20589.389999999996</v>
      </c>
      <c r="E107" s="348">
        <f>(E95-E88)-(E106-E103)</f>
        <v>22210.5</v>
      </c>
      <c r="F107" s="348">
        <f>(F95-F88)-(F106-F103)</f>
        <v>24774.000000000004</v>
      </c>
      <c r="G107" s="348">
        <f>(G95-G88)-(G106-G103)</f>
        <v>23417.1</v>
      </c>
    </row>
    <row r="108" spans="1:7">
      <c r="A108" s="554" t="s">
        <v>136</v>
      </c>
      <c r="B108" s="554"/>
      <c r="C108" s="553" t="s">
        <v>135</v>
      </c>
      <c r="D108" s="552">
        <f>D107-D85-D86+D100+D101</f>
        <v>20802.509999999998</v>
      </c>
      <c r="E108" s="552">
        <f>E107-E85-E86+E100+E101</f>
        <v>22120.5</v>
      </c>
      <c r="F108" s="552">
        <f>F107-F85-F86+F100+F101</f>
        <v>24533.800000000003</v>
      </c>
      <c r="G108" s="552">
        <f>G107-G85-G86+G100+G101</f>
        <v>22639.1</v>
      </c>
    </row>
    <row r="109" spans="1:7">
      <c r="A109" s="534"/>
      <c r="B109" s="534"/>
      <c r="C109" s="533"/>
      <c r="D109" s="260"/>
      <c r="E109" s="260"/>
      <c r="F109" s="260"/>
      <c r="G109" s="260"/>
    </row>
    <row r="110" spans="1:7" s="512" customFormat="1">
      <c r="A110" s="550" t="s">
        <v>134</v>
      </c>
      <c r="B110" s="551"/>
      <c r="C110" s="550"/>
      <c r="D110" s="260"/>
      <c r="E110" s="260"/>
      <c r="F110" s="260"/>
      <c r="G110" s="260"/>
    </row>
    <row r="111" spans="1:7" s="516" customFormat="1">
      <c r="A111" s="532">
        <v>10</v>
      </c>
      <c r="B111" s="531"/>
      <c r="C111" s="531" t="s">
        <v>133</v>
      </c>
      <c r="D111" s="327">
        <f>D112+D117</f>
        <v>168120.65299999999</v>
      </c>
      <c r="E111" s="326">
        <f>E112+E117</f>
        <v>0</v>
      </c>
      <c r="F111" s="327">
        <f>F112+F117</f>
        <v>164536.1</v>
      </c>
      <c r="G111" s="326">
        <f>G112+G117</f>
        <v>0</v>
      </c>
    </row>
    <row r="112" spans="1:7" s="516" customFormat="1">
      <c r="A112" s="539" t="s">
        <v>132</v>
      </c>
      <c r="B112" s="519"/>
      <c r="C112" s="519" t="s">
        <v>131</v>
      </c>
      <c r="D112" s="327">
        <f>D113+D114+D115+D116</f>
        <v>138845.59999999998</v>
      </c>
      <c r="E112" s="326">
        <f>E113+E114+E115+E116</f>
        <v>0</v>
      </c>
      <c r="F112" s="327">
        <f>F113+F114+F115+F116</f>
        <v>137171.80000000002</v>
      </c>
      <c r="G112" s="326">
        <f>G113+G114+G115+G116</f>
        <v>0</v>
      </c>
    </row>
    <row r="113" spans="1:7" s="516" customFormat="1">
      <c r="A113" s="537" t="s">
        <v>130</v>
      </c>
      <c r="B113" s="526"/>
      <c r="C113" s="526" t="s">
        <v>129</v>
      </c>
      <c r="D113" s="317">
        <f>48721.02+67876.5</f>
        <v>116597.51999999999</v>
      </c>
      <c r="E113" s="316"/>
      <c r="F113" s="317">
        <f>47930.7+69454.1</f>
        <v>117384.8</v>
      </c>
      <c r="G113" s="316"/>
    </row>
    <row r="114" spans="1:7" s="546" customFormat="1" ht="15" customHeight="1">
      <c r="A114" s="524">
        <v>102</v>
      </c>
      <c r="B114" s="665"/>
      <c r="C114" s="665" t="s">
        <v>128</v>
      </c>
      <c r="D114" s="343">
        <v>5000</v>
      </c>
      <c r="E114" s="342"/>
      <c r="F114" s="343">
        <v>5000</v>
      </c>
      <c r="G114" s="342"/>
    </row>
    <row r="115" spans="1:7" s="516" customFormat="1">
      <c r="A115" s="537">
        <v>104</v>
      </c>
      <c r="B115" s="526"/>
      <c r="C115" s="526" t="s">
        <v>127</v>
      </c>
      <c r="D115" s="317">
        <v>15579.52</v>
      </c>
      <c r="E115" s="316"/>
      <c r="F115" s="317">
        <v>13848.8</v>
      </c>
      <c r="G115" s="316"/>
    </row>
    <row r="116" spans="1:7" s="516" customFormat="1">
      <c r="A116" s="537">
        <v>106</v>
      </c>
      <c r="B116" s="526"/>
      <c r="C116" s="526" t="s">
        <v>126</v>
      </c>
      <c r="D116" s="317">
        <v>1668.56</v>
      </c>
      <c r="E116" s="316"/>
      <c r="F116" s="317">
        <v>938.2</v>
      </c>
      <c r="G116" s="316"/>
    </row>
    <row r="117" spans="1:7" s="516" customFormat="1">
      <c r="A117" s="539" t="s">
        <v>125</v>
      </c>
      <c r="B117" s="519"/>
      <c r="C117" s="519" t="s">
        <v>124</v>
      </c>
      <c r="D117" s="327">
        <f>D118+D119+D120</f>
        <v>29275.053</v>
      </c>
      <c r="E117" s="326">
        <f>E118+E119+E120</f>
        <v>0</v>
      </c>
      <c r="F117" s="327">
        <f>F118+F119+F120</f>
        <v>27364.3</v>
      </c>
      <c r="G117" s="326">
        <f>G118+G119+G120</f>
        <v>0</v>
      </c>
    </row>
    <row r="118" spans="1:7" s="516" customFormat="1">
      <c r="A118" s="537">
        <v>107</v>
      </c>
      <c r="B118" s="526"/>
      <c r="C118" s="526" t="s">
        <v>123</v>
      </c>
      <c r="D118" s="317">
        <v>8178.4530000000004</v>
      </c>
      <c r="E118" s="316"/>
      <c r="F118" s="317">
        <v>6573.8</v>
      </c>
      <c r="G118" s="316"/>
    </row>
    <row r="119" spans="1:7" s="516" customFormat="1">
      <c r="A119" s="537">
        <v>108</v>
      </c>
      <c r="B119" s="526"/>
      <c r="C119" s="526" t="s">
        <v>122</v>
      </c>
      <c r="D119" s="317">
        <v>21096.6</v>
      </c>
      <c r="E119" s="316"/>
      <c r="F119" s="317">
        <v>20790.5</v>
      </c>
      <c r="G119" s="316"/>
    </row>
    <row r="120" spans="1:7" s="538" customFormat="1" ht="25.5">
      <c r="A120" s="524">
        <v>109</v>
      </c>
      <c r="B120" s="523"/>
      <c r="C120" s="523" t="s">
        <v>121</v>
      </c>
      <c r="D120" s="311"/>
      <c r="E120" s="310"/>
      <c r="F120" s="311">
        <v>0</v>
      </c>
      <c r="G120" s="310"/>
    </row>
    <row r="121" spans="1:7" s="516" customFormat="1">
      <c r="A121" s="539">
        <v>14</v>
      </c>
      <c r="B121" s="519"/>
      <c r="C121" s="519" t="s">
        <v>120</v>
      </c>
      <c r="D121" s="327">
        <f>SUM(D122:D130)</f>
        <v>189266.46000000005</v>
      </c>
      <c r="E121" s="327">
        <f>SUM(E122:E130)</f>
        <v>0</v>
      </c>
      <c r="F121" s="327">
        <f>SUM(F122:F130)</f>
        <v>204162.4</v>
      </c>
      <c r="G121" s="327">
        <f>SUM(G122:G130)</f>
        <v>0</v>
      </c>
    </row>
    <row r="122" spans="1:7" s="516" customFormat="1">
      <c r="A122" s="537" t="s">
        <v>119</v>
      </c>
      <c r="B122" s="526"/>
      <c r="C122" s="526" t="s">
        <v>118</v>
      </c>
      <c r="D122" s="317">
        <f>99623.57+1401.32</f>
        <v>101024.89000000001</v>
      </c>
      <c r="E122" s="316"/>
      <c r="F122" s="317">
        <f>111979.5+1016.3</f>
        <v>112995.8</v>
      </c>
      <c r="G122" s="316"/>
    </row>
    <row r="123" spans="1:7" s="516" customFormat="1">
      <c r="A123" s="537">
        <v>144</v>
      </c>
      <c r="B123" s="526"/>
      <c r="C123" s="526" t="s">
        <v>117</v>
      </c>
      <c r="D123" s="317">
        <v>15133.29</v>
      </c>
      <c r="E123" s="316"/>
      <c r="F123" s="317">
        <v>15058.1</v>
      </c>
      <c r="G123" s="316"/>
    </row>
    <row r="124" spans="1:7" s="516" customFormat="1">
      <c r="A124" s="537">
        <v>145</v>
      </c>
      <c r="B124" s="526"/>
      <c r="C124" s="526" t="s">
        <v>116</v>
      </c>
      <c r="D124" s="317">
        <v>46649.55</v>
      </c>
      <c r="E124" s="304"/>
      <c r="F124" s="317">
        <v>46853.599999999999</v>
      </c>
      <c r="G124" s="304"/>
    </row>
    <row r="125" spans="1:7" s="516" customFormat="1">
      <c r="A125" s="537">
        <v>146</v>
      </c>
      <c r="B125" s="526"/>
      <c r="C125" s="526" t="s">
        <v>115</v>
      </c>
      <c r="D125" s="317">
        <v>26458.73</v>
      </c>
      <c r="E125" s="304"/>
      <c r="F125" s="317">
        <v>29254.9</v>
      </c>
      <c r="G125" s="304"/>
    </row>
    <row r="126" spans="1:7" s="538" customFormat="1" ht="29.45" customHeight="1">
      <c r="A126" s="524" t="s">
        <v>114</v>
      </c>
      <c r="B126" s="523"/>
      <c r="C126" s="523" t="s">
        <v>113</v>
      </c>
      <c r="D126" s="311"/>
      <c r="E126" s="339"/>
      <c r="F126" s="311"/>
      <c r="G126" s="339"/>
    </row>
    <row r="127" spans="1:7" s="516" customFormat="1">
      <c r="A127" s="537">
        <v>1484</v>
      </c>
      <c r="B127" s="526"/>
      <c r="C127" s="526" t="s">
        <v>112</v>
      </c>
      <c r="D127" s="317"/>
      <c r="E127" s="304"/>
      <c r="F127" s="317"/>
      <c r="G127" s="304"/>
    </row>
    <row r="128" spans="1:7" s="516" customFormat="1">
      <c r="A128" s="537">
        <v>1485</v>
      </c>
      <c r="B128" s="526"/>
      <c r="C128" s="526" t="s">
        <v>111</v>
      </c>
      <c r="D128" s="317"/>
      <c r="E128" s="304"/>
      <c r="F128" s="317"/>
      <c r="G128" s="304"/>
    </row>
    <row r="129" spans="1:7" s="516" customFormat="1">
      <c r="A129" s="537">
        <v>1486</v>
      </c>
      <c r="B129" s="526"/>
      <c r="C129" s="526" t="s">
        <v>110</v>
      </c>
      <c r="D129" s="317"/>
      <c r="E129" s="304"/>
      <c r="F129" s="317"/>
      <c r="G129" s="304"/>
    </row>
    <row r="130" spans="1:7" s="516" customFormat="1">
      <c r="A130" s="536">
        <v>1489</v>
      </c>
      <c r="B130" s="535"/>
      <c r="C130" s="535" t="s">
        <v>109</v>
      </c>
      <c r="D130" s="333"/>
      <c r="E130" s="332"/>
      <c r="F130" s="333"/>
      <c r="G130" s="332"/>
    </row>
    <row r="131" spans="1:7" s="512" customFormat="1">
      <c r="A131" s="515">
        <v>1</v>
      </c>
      <c r="B131" s="514"/>
      <c r="C131" s="515" t="s">
        <v>108</v>
      </c>
      <c r="D131" s="295">
        <f>D111+D121</f>
        <v>357387.11300000001</v>
      </c>
      <c r="E131" s="295">
        <f>E111+E121</f>
        <v>0</v>
      </c>
      <c r="F131" s="295">
        <f>F111+F121</f>
        <v>368698.5</v>
      </c>
      <c r="G131" s="295">
        <f>G111+G121</f>
        <v>0</v>
      </c>
    </row>
    <row r="132" spans="1:7" s="512" customFormat="1">
      <c r="A132" s="534"/>
      <c r="B132" s="534"/>
      <c r="C132" s="533"/>
      <c r="D132" s="260"/>
      <c r="E132" s="260"/>
      <c r="F132" s="260"/>
      <c r="G132" s="260"/>
    </row>
    <row r="133" spans="1:7" s="516" customFormat="1">
      <c r="A133" s="532">
        <v>20</v>
      </c>
      <c r="B133" s="531"/>
      <c r="C133" s="531" t="s">
        <v>107</v>
      </c>
      <c r="D133" s="329">
        <f>D134+D140</f>
        <v>154395.84</v>
      </c>
      <c r="E133" s="530">
        <f>E134+E140</f>
        <v>0</v>
      </c>
      <c r="F133" s="329">
        <f>F134+F140</f>
        <v>147713.60000000001</v>
      </c>
      <c r="G133" s="530">
        <f>G134+G140</f>
        <v>0</v>
      </c>
    </row>
    <row r="134" spans="1:7" s="516" customFormat="1">
      <c r="A134" s="520" t="s">
        <v>106</v>
      </c>
      <c r="B134" s="519"/>
      <c r="C134" s="519" t="s">
        <v>105</v>
      </c>
      <c r="D134" s="327">
        <f>D135+D136+D138+D139</f>
        <v>66203.69</v>
      </c>
      <c r="E134" s="326">
        <f>E135+E136+E138+E139</f>
        <v>0</v>
      </c>
      <c r="F134" s="327">
        <f>F135+F136+F138+F139</f>
        <v>57572.5</v>
      </c>
      <c r="G134" s="326">
        <f>G135+G136+G138+G139</f>
        <v>0</v>
      </c>
    </row>
    <row r="135" spans="1:7" s="525" customFormat="1">
      <c r="A135" s="527">
        <v>200</v>
      </c>
      <c r="B135" s="526"/>
      <c r="C135" s="526" t="s">
        <v>104</v>
      </c>
      <c r="D135" s="317">
        <v>36056.68</v>
      </c>
      <c r="E135" s="316"/>
      <c r="F135" s="317">
        <v>36294</v>
      </c>
      <c r="G135" s="316"/>
    </row>
    <row r="136" spans="1:7" s="525" customFormat="1">
      <c r="A136" s="527">
        <v>201</v>
      </c>
      <c r="B136" s="526"/>
      <c r="C136" s="526" t="s">
        <v>103</v>
      </c>
      <c r="D136" s="317">
        <v>10000</v>
      </c>
      <c r="E136" s="316"/>
      <c r="F136" s="317">
        <v>0</v>
      </c>
      <c r="G136" s="316"/>
    </row>
    <row r="137" spans="1:7" s="525" customFormat="1">
      <c r="A137" s="529" t="s">
        <v>521</v>
      </c>
      <c r="B137" s="528"/>
      <c r="C137" s="528" t="s">
        <v>101</v>
      </c>
      <c r="D137" s="322"/>
      <c r="E137" s="328"/>
      <c r="F137" s="322">
        <v>0</v>
      </c>
      <c r="G137" s="328"/>
    </row>
    <row r="138" spans="1:7" s="525" customFormat="1">
      <c r="A138" s="527">
        <v>204</v>
      </c>
      <c r="B138" s="526"/>
      <c r="C138" s="526" t="s">
        <v>100</v>
      </c>
      <c r="D138" s="317">
        <v>16405.89</v>
      </c>
      <c r="E138" s="304"/>
      <c r="F138" s="317">
        <v>16957.5</v>
      </c>
      <c r="G138" s="304"/>
    </row>
    <row r="139" spans="1:7" s="525" customFormat="1">
      <c r="A139" s="527">
        <v>205</v>
      </c>
      <c r="B139" s="526"/>
      <c r="C139" s="526" t="s">
        <v>99</v>
      </c>
      <c r="D139" s="317">
        <v>3741.12</v>
      </c>
      <c r="E139" s="304"/>
      <c r="F139" s="317">
        <v>4321</v>
      </c>
      <c r="G139" s="304"/>
    </row>
    <row r="140" spans="1:7" s="525" customFormat="1">
      <c r="A140" s="520" t="s">
        <v>98</v>
      </c>
      <c r="B140" s="519"/>
      <c r="C140" s="519" t="s">
        <v>97</v>
      </c>
      <c r="D140" s="327">
        <f>D141+D143+D144</f>
        <v>88192.15</v>
      </c>
      <c r="E140" s="326">
        <f>E141+E143+E144</f>
        <v>0</v>
      </c>
      <c r="F140" s="327">
        <f>F141+F143+F144</f>
        <v>90141.1</v>
      </c>
      <c r="G140" s="326">
        <f>G141+G143+G144</f>
        <v>0</v>
      </c>
    </row>
    <row r="141" spans="1:7" s="525" customFormat="1">
      <c r="A141" s="527">
        <v>206</v>
      </c>
      <c r="B141" s="526"/>
      <c r="C141" s="526" t="s">
        <v>96</v>
      </c>
      <c r="D141" s="317">
        <v>74121.509999999995</v>
      </c>
      <c r="E141" s="304"/>
      <c r="F141" s="317">
        <v>76360.100000000006</v>
      </c>
      <c r="G141" s="304"/>
    </row>
    <row r="142" spans="1:7" s="525" customFormat="1">
      <c r="A142" s="529" t="s">
        <v>95</v>
      </c>
      <c r="B142" s="528"/>
      <c r="C142" s="528" t="s">
        <v>94</v>
      </c>
      <c r="D142" s="322"/>
      <c r="E142" s="328"/>
      <c r="F142" s="322">
        <v>0</v>
      </c>
      <c r="G142" s="328"/>
    </row>
    <row r="143" spans="1:7" s="525" customFormat="1">
      <c r="A143" s="527">
        <v>208</v>
      </c>
      <c r="B143" s="526"/>
      <c r="C143" s="526" t="s">
        <v>93</v>
      </c>
      <c r="D143" s="317">
        <v>11102.61</v>
      </c>
      <c r="E143" s="304"/>
      <c r="F143" s="317">
        <v>10697.9</v>
      </c>
      <c r="G143" s="304"/>
    </row>
    <row r="144" spans="1:7" s="521" customFormat="1" ht="25.5">
      <c r="A144" s="524">
        <v>209</v>
      </c>
      <c r="B144" s="523"/>
      <c r="C144" s="523" t="s">
        <v>92</v>
      </c>
      <c r="D144" s="311">
        <v>2968.03</v>
      </c>
      <c r="E144" s="339"/>
      <c r="F144" s="311">
        <v>3083.1</v>
      </c>
      <c r="G144" s="339"/>
    </row>
    <row r="145" spans="1:7" s="516" customFormat="1">
      <c r="A145" s="520">
        <v>29</v>
      </c>
      <c r="B145" s="519"/>
      <c r="C145" s="519" t="s">
        <v>61</v>
      </c>
      <c r="D145" s="305">
        <v>202991.27</v>
      </c>
      <c r="E145" s="304"/>
      <c r="F145" s="305">
        <v>220985.1</v>
      </c>
      <c r="G145" s="304"/>
    </row>
    <row r="146" spans="1:7" s="516" customFormat="1">
      <c r="A146" s="518" t="s">
        <v>91</v>
      </c>
      <c r="B146" s="517"/>
      <c r="C146" s="517" t="s">
        <v>90</v>
      </c>
      <c r="D146" s="300">
        <v>181980.76</v>
      </c>
      <c r="E146" s="299"/>
      <c r="F146" s="300">
        <v>197913.3</v>
      </c>
      <c r="G146" s="299"/>
    </row>
    <row r="147" spans="1:7" s="512" customFormat="1">
      <c r="A147" s="515">
        <v>2</v>
      </c>
      <c r="B147" s="514"/>
      <c r="C147" s="515" t="s">
        <v>89</v>
      </c>
      <c r="D147" s="295">
        <f>D133+D145</f>
        <v>357387.11</v>
      </c>
      <c r="E147" s="295">
        <f>E133+E145</f>
        <v>0</v>
      </c>
      <c r="F147" s="295">
        <f>F133+F145</f>
        <v>368698.7</v>
      </c>
      <c r="G147" s="295">
        <f>G133+G145</f>
        <v>0</v>
      </c>
    </row>
    <row r="148" spans="1:7" ht="7.5" customHeight="1">
      <c r="D148" s="512"/>
      <c r="F148" s="512"/>
    </row>
    <row r="149" spans="1:7" ht="13.5" customHeight="1">
      <c r="A149" s="511" t="s">
        <v>88</v>
      </c>
      <c r="B149" s="509"/>
      <c r="C149" s="664" t="s">
        <v>87</v>
      </c>
      <c r="D149" s="509"/>
      <c r="E149" s="509"/>
      <c r="F149" s="509"/>
      <c r="G149" s="509"/>
    </row>
    <row r="150" spans="1:7">
      <c r="A150" s="498" t="s">
        <v>86</v>
      </c>
      <c r="B150" s="494"/>
      <c r="C150" s="494" t="s">
        <v>85</v>
      </c>
      <c r="D150" s="268">
        <f>D77+SUM(D8:D12)-D30-D31+D16-D33+D59+D63-D73+D64-D74-D54+D20-D35</f>
        <v>33298.246000000014</v>
      </c>
      <c r="E150" s="268">
        <f>E77+SUM(E8:E12)-E30-E31+E16-E33+E59+E63-E73+E64-E74-E54+E20-E35</f>
        <v>16917.030000000028</v>
      </c>
      <c r="F150" s="268">
        <f>F77+SUM(F8:F12)-F30-F31+F16-F33+F59+F63-F73+F64-F74-F54+F20-F35</f>
        <v>27875.500000000109</v>
      </c>
      <c r="G150" s="268">
        <f>G77+SUM(G8:G12)-G30-G31+G16-G33+G59+G63-G73+G64-G74-G54+G20-G35</f>
        <v>17353.999999999953</v>
      </c>
    </row>
    <row r="151" spans="1:7">
      <c r="A151" s="489" t="s">
        <v>84</v>
      </c>
      <c r="B151" s="488"/>
      <c r="C151" s="488" t="s">
        <v>83</v>
      </c>
      <c r="D151" s="269">
        <f>IF(D177=0,0,D150/D177)</f>
        <v>9.1455465601422287E-2</v>
      </c>
      <c r="E151" s="269">
        <f>IF(E177=0,0,E150/E177)</f>
        <v>4.7501588507921313E-2</v>
      </c>
      <c r="F151" s="269">
        <f>IF(F177=0,0,F150/F177)</f>
        <v>7.9267358102599855E-2</v>
      </c>
      <c r="G151" s="269">
        <f>IF(G177=0,0,G150/G177)</f>
        <v>4.7964136070666401E-2</v>
      </c>
    </row>
    <row r="152" spans="1:7" s="613" customFormat="1" ht="25.5">
      <c r="A152" s="816" t="s">
        <v>81</v>
      </c>
      <c r="B152" s="815"/>
      <c r="C152" s="815" t="s">
        <v>82</v>
      </c>
      <c r="D152" s="814">
        <f>IF(D107=0,0,D150/D107)</f>
        <v>1.6172526723715477</v>
      </c>
      <c r="E152" s="814">
        <f>IF(E107=0,0,E150/E107)</f>
        <v>0.76166812993854383</v>
      </c>
      <c r="F152" s="814">
        <f>IF(F107=0,0,F150/F107)</f>
        <v>1.1251917332687538</v>
      </c>
      <c r="G152" s="814">
        <f>IF(G107=0,0,G150/G107)</f>
        <v>0.74108237142942357</v>
      </c>
    </row>
    <row r="153" spans="1:7" s="613" customFormat="1" ht="25.5">
      <c r="A153" s="813" t="s">
        <v>81</v>
      </c>
      <c r="B153" s="812"/>
      <c r="C153" s="812" t="s">
        <v>80</v>
      </c>
      <c r="D153" s="289">
        <f>IF(0=D108,0,D150/D108)</f>
        <v>1.6006840520687176</v>
      </c>
      <c r="E153" s="289">
        <f>IF(0=E108,0,E150/E108)</f>
        <v>0.76476707126873389</v>
      </c>
      <c r="F153" s="289">
        <f>IF(0=F108,0,F150/F108)</f>
        <v>1.1362080069129163</v>
      </c>
      <c r="G153" s="289">
        <f>IF(0=G108,0,G150/G108)</f>
        <v>0.76654990701926995</v>
      </c>
    </row>
    <row r="154" spans="1:7" ht="25.5">
      <c r="A154" s="503" t="s">
        <v>79</v>
      </c>
      <c r="B154" s="502"/>
      <c r="C154" s="502" t="s">
        <v>78</v>
      </c>
      <c r="D154" s="279">
        <f>D150-D107</f>
        <v>12708.856000000018</v>
      </c>
      <c r="E154" s="279">
        <f>E150-E107</f>
        <v>-5293.4699999999721</v>
      </c>
      <c r="F154" s="279">
        <f>F150-F107</f>
        <v>3101.5000000001055</v>
      </c>
      <c r="G154" s="279">
        <f>G150-G107</f>
        <v>-6063.1000000000458</v>
      </c>
    </row>
    <row r="155" spans="1:7" ht="25.5">
      <c r="A155" s="497" t="s">
        <v>77</v>
      </c>
      <c r="B155" s="500"/>
      <c r="C155" s="500" t="s">
        <v>76</v>
      </c>
      <c r="D155" s="282">
        <f>D150-D108</f>
        <v>12495.736000000015</v>
      </c>
      <c r="E155" s="282">
        <f>E150-E108</f>
        <v>-5203.4699999999721</v>
      </c>
      <c r="F155" s="282">
        <f>F150-F108</f>
        <v>3341.7000000001062</v>
      </c>
      <c r="G155" s="282">
        <f>G150-G108</f>
        <v>-5285.1000000000458</v>
      </c>
    </row>
    <row r="156" spans="1:7">
      <c r="A156" s="498" t="s">
        <v>75</v>
      </c>
      <c r="B156" s="494"/>
      <c r="C156" s="494" t="s">
        <v>74</v>
      </c>
      <c r="D156" s="277">
        <f>D135+D136-D137+D141-D142</f>
        <v>120178.19</v>
      </c>
      <c r="E156" s="277">
        <f>E135+E136-E137+E141-E142</f>
        <v>0</v>
      </c>
      <c r="F156" s="277">
        <f>F135+F136-F137+F141-F142</f>
        <v>112654.1</v>
      </c>
      <c r="G156" s="277">
        <f>G135+G136-G137+G141-G142</f>
        <v>0</v>
      </c>
    </row>
    <row r="157" spans="1:7">
      <c r="A157" s="492" t="s">
        <v>73</v>
      </c>
      <c r="B157" s="491"/>
      <c r="C157" s="491" t="s">
        <v>72</v>
      </c>
      <c r="D157" s="273">
        <f>IF(D177=0,0,D156/D177)</f>
        <v>0.33007601426171779</v>
      </c>
      <c r="E157" s="273">
        <f>IF(E177=0,0,E156/E177)</f>
        <v>0</v>
      </c>
      <c r="F157" s="273">
        <f>IF(F177=0,0,F156/F177)</f>
        <v>0.32034556820240212</v>
      </c>
      <c r="G157" s="273">
        <f>IF(G177=0,0,G156/G177)</f>
        <v>0</v>
      </c>
    </row>
    <row r="158" spans="1:7">
      <c r="A158" s="498" t="s">
        <v>71</v>
      </c>
      <c r="B158" s="494"/>
      <c r="C158" s="494" t="s">
        <v>70</v>
      </c>
      <c r="D158" s="277">
        <f>D133-D142-D111</f>
        <v>-13724.812999999995</v>
      </c>
      <c r="E158" s="277">
        <f>E133-E142-E111</f>
        <v>0</v>
      </c>
      <c r="F158" s="277">
        <f>F133-F142-F111</f>
        <v>-16822.5</v>
      </c>
      <c r="G158" s="277">
        <f>G133-G142-G111</f>
        <v>0</v>
      </c>
    </row>
    <row r="159" spans="1:7">
      <c r="A159" s="489" t="s">
        <v>69</v>
      </c>
      <c r="B159" s="488"/>
      <c r="C159" s="488" t="s">
        <v>68</v>
      </c>
      <c r="D159" s="265">
        <f>D121-D123-D124-D142-D145</f>
        <v>-75507.649999999951</v>
      </c>
      <c r="E159" s="265">
        <f>E121-E123-E124-E142-E145</f>
        <v>0</v>
      </c>
      <c r="F159" s="265">
        <f>F121-F123-F124-F142-F145</f>
        <v>-78734.400000000023</v>
      </c>
      <c r="G159" s="265">
        <f>G121-G123-G124-G142-G145</f>
        <v>0</v>
      </c>
    </row>
    <row r="160" spans="1:7">
      <c r="A160" s="489" t="s">
        <v>66</v>
      </c>
      <c r="B160" s="488"/>
      <c r="C160" s="488" t="s">
        <v>67</v>
      </c>
      <c r="D160" s="276">
        <f>IF(D175=0,"-",1000*D158/D175)</f>
        <v>-384.4377748522449</v>
      </c>
      <c r="E160" s="276">
        <f>IF(E175=0,"-",1000*E158/E175)</f>
        <v>0</v>
      </c>
      <c r="F160" s="276">
        <f>IF(F175=0,"-",1000*F158/F175)</f>
        <v>-469.05060644081976</v>
      </c>
      <c r="G160" s="276">
        <f>IF(G175=0,"-",1000*G158/G175)</f>
        <v>0</v>
      </c>
    </row>
    <row r="161" spans="1:7">
      <c r="A161" s="489" t="s">
        <v>66</v>
      </c>
      <c r="B161" s="488"/>
      <c r="C161" s="488" t="s">
        <v>65</v>
      </c>
      <c r="D161" s="265">
        <f>IF(D175=0,0,1000*(D159/D175))</f>
        <v>-2115.000980364694</v>
      </c>
      <c r="E161" s="265">
        <f>IF(E175=0,0,1000*(E159/E175))</f>
        <v>0</v>
      </c>
      <c r="F161" s="265">
        <f>IF(F175=0,0,1000*(F159/F175))</f>
        <v>-2195.2990380593901</v>
      </c>
      <c r="G161" s="265">
        <f>IF(G175=0,0,1000*(G159/G175))</f>
        <v>0</v>
      </c>
    </row>
    <row r="162" spans="1:7">
      <c r="A162" s="492" t="s">
        <v>64</v>
      </c>
      <c r="B162" s="491"/>
      <c r="C162" s="491" t="s">
        <v>63</v>
      </c>
      <c r="D162" s="273">
        <f>IF((D22+D23+D65+D66)=0,0,D158/(D22+D23+D65+D66))</f>
        <v>-0.15945414471988134</v>
      </c>
      <c r="E162" s="273">
        <f>IF((E22+E23+E65+E66)=0,0,E158/(E22+E23+E65+E66))</f>
        <v>0</v>
      </c>
      <c r="F162" s="273">
        <f>IF((F22+F23+F65+F66)=0,0,F158/(F22+F23+F65+F66))</f>
        <v>-0.1914953197621804</v>
      </c>
      <c r="G162" s="273">
        <f>IF((G22+G23+G65+G66)=0,0,G158/(G22+G23+G65+G66))</f>
        <v>0</v>
      </c>
    </row>
    <row r="163" spans="1:7">
      <c r="A163" s="489" t="s">
        <v>62</v>
      </c>
      <c r="B163" s="488"/>
      <c r="C163" s="488" t="s">
        <v>61</v>
      </c>
      <c r="D163" s="268">
        <f>D145</f>
        <v>202991.27</v>
      </c>
      <c r="E163" s="268">
        <f>E145</f>
        <v>0</v>
      </c>
      <c r="F163" s="268">
        <f>F145</f>
        <v>220985.1</v>
      </c>
      <c r="G163" s="268">
        <f>G145</f>
        <v>0</v>
      </c>
    </row>
    <row r="164" spans="1:7" ht="25.5">
      <c r="A164" s="497" t="s">
        <v>60</v>
      </c>
      <c r="B164" s="496"/>
      <c r="C164" s="496" t="s">
        <v>59</v>
      </c>
      <c r="D164" s="274">
        <f>IF(D178=0,0,D146/D178)</f>
        <v>0.53190208097124603</v>
      </c>
      <c r="E164" s="274">
        <f>IF(E178=0,0,E146/E178)</f>
        <v>0</v>
      </c>
      <c r="F164" s="274">
        <f>IF(F178=0,0,F146/F178)</f>
        <v>0.58949822447560829</v>
      </c>
      <c r="G164" s="274">
        <f>IF(G178=0,0,G146/G178)</f>
        <v>0</v>
      </c>
    </row>
    <row r="165" spans="1:7">
      <c r="A165" s="486" t="s">
        <v>58</v>
      </c>
      <c r="B165" s="485"/>
      <c r="C165" s="485" t="s">
        <v>57</v>
      </c>
      <c r="D165" s="262">
        <f>IF(D177=0,0,D180/D177)</f>
        <v>3.416434329624387E-2</v>
      </c>
      <c r="E165" s="262">
        <f>IF(E177=0,0,E180/E177)</f>
        <v>3.4119822003998532E-2</v>
      </c>
      <c r="F165" s="262">
        <f>IF(F177=0,0,F180/F177)</f>
        <v>3.075973307498088E-2</v>
      </c>
      <c r="G165" s="262">
        <f>IF(G177=0,0,G180/G177)</f>
        <v>3.5834632350502472E-2</v>
      </c>
    </row>
    <row r="166" spans="1:7">
      <c r="A166" s="489" t="s">
        <v>56</v>
      </c>
      <c r="B166" s="488"/>
      <c r="C166" s="488" t="s">
        <v>55</v>
      </c>
      <c r="D166" s="268">
        <f>D55</f>
        <v>10176.035999999998</v>
      </c>
      <c r="E166" s="268">
        <f>E55</f>
        <v>12126.13</v>
      </c>
      <c r="F166" s="268">
        <f>F55</f>
        <v>11289.699999999999</v>
      </c>
      <c r="G166" s="268">
        <f>G55</f>
        <v>11297.199999999999</v>
      </c>
    </row>
    <row r="167" spans="1:7">
      <c r="A167" s="492" t="s">
        <v>54</v>
      </c>
      <c r="B167" s="491"/>
      <c r="C167" s="491" t="s">
        <v>53</v>
      </c>
      <c r="D167" s="273">
        <f>IF(0=D111,0,(D44+D45+D46+D47+D48)/D111)</f>
        <v>6.1890432938063837E-3</v>
      </c>
      <c r="E167" s="273">
        <f>IF(0=E111,0,(E44+E45+E46+E47+E48)/E111)</f>
        <v>0</v>
      </c>
      <c r="F167" s="273">
        <f>IF(0=F111,0,(F44+F45+F46+F47+F48)/F111)</f>
        <v>2.0213193335687427E-2</v>
      </c>
      <c r="G167" s="273">
        <f>IF(0=G111,0,(G44+G45+G46+G47+G48)/G111)</f>
        <v>0</v>
      </c>
    </row>
    <row r="168" spans="1:7">
      <c r="A168" s="489" t="s">
        <v>52</v>
      </c>
      <c r="B168" s="494"/>
      <c r="C168" s="494" t="s">
        <v>51</v>
      </c>
      <c r="D168" s="268">
        <f>D38-D44</f>
        <v>1434.8000000000002</v>
      </c>
      <c r="E168" s="268">
        <f>E38-E44</f>
        <v>1148.5999999999999</v>
      </c>
      <c r="F168" s="268">
        <f>F38-F44</f>
        <v>1050.4000000000001</v>
      </c>
      <c r="G168" s="268">
        <f>G38-G44</f>
        <v>742.6</v>
      </c>
    </row>
    <row r="169" spans="1:7">
      <c r="A169" s="492" t="s">
        <v>50</v>
      </c>
      <c r="B169" s="491"/>
      <c r="C169" s="491" t="s">
        <v>49</v>
      </c>
      <c r="D169" s="269">
        <f>IF(D177=0,0,D168/D177)</f>
        <v>3.9407571811716649E-3</v>
      </c>
      <c r="E169" s="269">
        <f>IF(E177=0,0,E168/E177)</f>
        <v>3.2251715910061236E-3</v>
      </c>
      <c r="F169" s="269">
        <f>IF(F177=0,0,F168/F177)</f>
        <v>2.9869395329579942E-3</v>
      </c>
      <c r="G169" s="269">
        <f>IF(G177=0,0,G168/G177)</f>
        <v>2.0524471272373498E-3</v>
      </c>
    </row>
    <row r="170" spans="1:7">
      <c r="A170" s="489" t="s">
        <v>48</v>
      </c>
      <c r="B170" s="488"/>
      <c r="C170" s="488" t="s">
        <v>47</v>
      </c>
      <c r="D170" s="268">
        <f>SUM(D82:D87)+SUM(D89:D94)</f>
        <v>45074.63</v>
      </c>
      <c r="E170" s="268">
        <f>SUM(E82:E87)+SUM(E89:E94)</f>
        <v>67464.800000000003</v>
      </c>
      <c r="F170" s="268">
        <f>SUM(F82:F87)+SUM(F89:F94)</f>
        <v>40314.100000000006</v>
      </c>
      <c r="G170" s="268">
        <f>SUM(G82:G87)+SUM(G89:G94)</f>
        <v>56586.2</v>
      </c>
    </row>
    <row r="171" spans="1:7">
      <c r="A171" s="489" t="s">
        <v>46</v>
      </c>
      <c r="B171" s="488"/>
      <c r="C171" s="488" t="s">
        <v>45</v>
      </c>
      <c r="D171" s="265">
        <f>SUM(D96:D102)+SUM(D104:D105)</f>
        <v>24485.24</v>
      </c>
      <c r="E171" s="265">
        <f>SUM(E96:E102)+SUM(E104:E105)</f>
        <v>45254.3</v>
      </c>
      <c r="F171" s="265">
        <f>SUM(F96:F102)+SUM(F104:F105)</f>
        <v>15540.1</v>
      </c>
      <c r="G171" s="265">
        <f>SUM(G96:G102)+SUM(G104:G105)</f>
        <v>33169.1</v>
      </c>
    </row>
    <row r="172" spans="1:7">
      <c r="A172" s="486" t="s">
        <v>44</v>
      </c>
      <c r="B172" s="485"/>
      <c r="C172" s="485" t="s">
        <v>43</v>
      </c>
      <c r="D172" s="262">
        <f>IF(D184=0,0,D170/D184)</f>
        <v>0.12111667725444254</v>
      </c>
      <c r="E172" s="262">
        <f>IF(E184=0,0,E170/E184)</f>
        <v>0.16648647544162357</v>
      </c>
      <c r="F172" s="262">
        <f>IF(F184=0,0,F170/F184)</f>
        <v>0.11154884947030064</v>
      </c>
      <c r="G172" s="262">
        <f>IF(G184=0,0,G170/G184)</f>
        <v>0.14147971871173051</v>
      </c>
    </row>
    <row r="173" spans="1:7">
      <c r="A173" s="678"/>
    </row>
    <row r="174" spans="1:7">
      <c r="A174" s="479" t="s">
        <v>42</v>
      </c>
      <c r="B174" s="477"/>
      <c r="C174" s="649"/>
      <c r="D174" s="260"/>
      <c r="E174" s="260"/>
      <c r="F174" s="260"/>
      <c r="G174" s="260"/>
    </row>
    <row r="175" spans="1:7" s="480" customFormat="1">
      <c r="A175" s="478" t="s">
        <v>41</v>
      </c>
      <c r="B175" s="477"/>
      <c r="C175" s="477" t="s">
        <v>259</v>
      </c>
      <c r="D175" s="650">
        <v>35701</v>
      </c>
      <c r="E175" s="650">
        <v>35701</v>
      </c>
      <c r="F175" s="650">
        <v>35865</v>
      </c>
      <c r="G175" s="650">
        <v>35865</v>
      </c>
    </row>
    <row r="176" spans="1:7">
      <c r="A176" s="479" t="s">
        <v>39</v>
      </c>
      <c r="B176" s="477"/>
      <c r="C176" s="477"/>
      <c r="D176" s="477"/>
      <c r="E176" s="477"/>
      <c r="F176" s="477"/>
      <c r="G176" s="477"/>
    </row>
    <row r="177" spans="1:7">
      <c r="A177" s="478" t="s">
        <v>38</v>
      </c>
      <c r="B177" s="477"/>
      <c r="C177" s="477" t="s">
        <v>37</v>
      </c>
      <c r="D177" s="475">
        <f>SUM(D22:D32)+SUM(D44:D53)+SUM(D65:D72)+D75</f>
        <v>364092.46600000001</v>
      </c>
      <c r="E177" s="475">
        <f>SUM(E22:E32)+SUM(E44:E53)+SUM(E65:E72)+E75</f>
        <v>356136.08999999997</v>
      </c>
      <c r="F177" s="475">
        <f>SUM(F22:F32)+SUM(F44:F53)+SUM(F65:F72)+F75</f>
        <v>351664.30000000005</v>
      </c>
      <c r="G177" s="475">
        <f>SUM(G22:G32)+SUM(G44:G53)+SUM(G65:G72)+G75</f>
        <v>361812</v>
      </c>
    </row>
    <row r="178" spans="1:7">
      <c r="A178" s="478" t="s">
        <v>36</v>
      </c>
      <c r="B178" s="477"/>
      <c r="C178" s="477" t="s">
        <v>35</v>
      </c>
      <c r="D178" s="475">
        <f>D78-D17-D20-D59-D63-D64</f>
        <v>342132.07</v>
      </c>
      <c r="E178" s="475">
        <f>E78-E17-E20-E59-E63-E64</f>
        <v>349670.80999999994</v>
      </c>
      <c r="F178" s="475">
        <f>F78-F17-F20-F59-F63-F64</f>
        <v>335731.79999999993</v>
      </c>
      <c r="G178" s="475">
        <f>G78-G17-G20-G59-G63-G64</f>
        <v>356420.10000000003</v>
      </c>
    </row>
    <row r="179" spans="1:7">
      <c r="A179" s="478"/>
      <c r="B179" s="477"/>
      <c r="C179" s="477" t="s">
        <v>34</v>
      </c>
      <c r="D179" s="475">
        <f>D178+D170</f>
        <v>387206.7</v>
      </c>
      <c r="E179" s="475">
        <f>E178+E170</f>
        <v>417135.60999999993</v>
      </c>
      <c r="F179" s="475">
        <f>F178+F170</f>
        <v>376045.89999999991</v>
      </c>
      <c r="G179" s="475">
        <f>G178+G170</f>
        <v>413006.30000000005</v>
      </c>
    </row>
    <row r="180" spans="1:7">
      <c r="A180" s="478" t="s">
        <v>33</v>
      </c>
      <c r="B180" s="477"/>
      <c r="C180" s="477" t="s">
        <v>32</v>
      </c>
      <c r="D180" s="475">
        <f>D38-D44+D8+D9+D10+D16-D33</f>
        <v>12438.98</v>
      </c>
      <c r="E180" s="475">
        <f>E38-E44+E8+E9+E10+E16-E33</f>
        <v>12151.3</v>
      </c>
      <c r="F180" s="475">
        <f>F38-F44+F8+F9+F10+F16-F33</f>
        <v>10817.1</v>
      </c>
      <c r="G180" s="475">
        <f>G38-G44+G8+G9+G10+G16-G33</f>
        <v>12965.400000000001</v>
      </c>
    </row>
    <row r="181" spans="1:7" ht="27.6" customHeight="1">
      <c r="A181" s="474" t="s">
        <v>31</v>
      </c>
      <c r="B181" s="472"/>
      <c r="C181" s="472" t="s">
        <v>30</v>
      </c>
      <c r="D181" s="249">
        <f>D22+D23+D24+D25+D26+D29+SUM(D44:D47)+SUM(D49:D53)-D54+D32-D33+SUM(D65:D70)+D72</f>
        <v>354045.326</v>
      </c>
      <c r="E181" s="249">
        <f>E22+E23+E24+E25+E26+E29+SUM(E44:E47)+SUM(E49:E53)-E54+E32-E33+SUM(E65:E70)+E72</f>
        <v>353908.14</v>
      </c>
      <c r="F181" s="249">
        <f>F22+F23+F24+F25+F26+F29+SUM(F44:F47)+SUM(F49:F53)-F54+F32-F33+SUM(F65:F70)+F72</f>
        <v>348278.10000000003</v>
      </c>
      <c r="G181" s="249">
        <f>G22+G23+G24+G25+G26+G29+SUM(G44:G47)+SUM(G49:G53)-G54+G32-G33+SUM(G65:G70)+G72</f>
        <v>360126.6</v>
      </c>
    </row>
    <row r="182" spans="1:7">
      <c r="A182" s="473" t="s">
        <v>29</v>
      </c>
      <c r="B182" s="472"/>
      <c r="C182" s="472" t="s">
        <v>28</v>
      </c>
      <c r="D182" s="249">
        <f>D181+D171</f>
        <v>378530.56599999999</v>
      </c>
      <c r="E182" s="249">
        <f>E181+E171</f>
        <v>399162.44</v>
      </c>
      <c r="F182" s="249">
        <f>F181+F171</f>
        <v>363818.2</v>
      </c>
      <c r="G182" s="249">
        <f>G181+G171</f>
        <v>393295.69999999995</v>
      </c>
    </row>
    <row r="183" spans="1:7">
      <c r="A183" s="473" t="s">
        <v>27</v>
      </c>
      <c r="B183" s="472"/>
      <c r="C183" s="472" t="s">
        <v>26</v>
      </c>
      <c r="D183" s="249">
        <f>D4+D5-D7+D38+D39+D40+D41+D43+D13-D16+D57+D58+D60+D62</f>
        <v>327084.11</v>
      </c>
      <c r="E183" s="249">
        <f>E4+E5-E7+E38+E39+E40+E41+E43+E13-E16+E57+E58+E60+E62</f>
        <v>337762.11000000004</v>
      </c>
      <c r="F183" s="249">
        <f>F4+F5-F7+F38+F39+F40+F41+F43+F13-F16+F57+F58+F60+F62</f>
        <v>321089</v>
      </c>
      <c r="G183" s="249">
        <f>G4+G5-G7+G38+G39+G40+G41+G43+G13-G16+G57+G58+G60+G62</f>
        <v>343373.60000000003</v>
      </c>
    </row>
    <row r="184" spans="1:7">
      <c r="A184" s="473" t="s">
        <v>25</v>
      </c>
      <c r="B184" s="472"/>
      <c r="C184" s="472" t="s">
        <v>24</v>
      </c>
      <c r="D184" s="249">
        <f>D183+D170</f>
        <v>372158.74</v>
      </c>
      <c r="E184" s="249">
        <f>E183+E170</f>
        <v>405226.91000000003</v>
      </c>
      <c r="F184" s="249">
        <f>F183+F170</f>
        <v>361403.1</v>
      </c>
      <c r="G184" s="249">
        <f>G183+G170</f>
        <v>399959.80000000005</v>
      </c>
    </row>
    <row r="185" spans="1:7">
      <c r="A185" s="473"/>
      <c r="B185" s="472"/>
      <c r="C185" s="472" t="s">
        <v>23</v>
      </c>
      <c r="D185" s="249">
        <f t="shared" ref="D185:G186" si="0">D181-D183</f>
        <v>26961.216000000015</v>
      </c>
      <c r="E185" s="249">
        <f t="shared" si="0"/>
        <v>16146.02999999997</v>
      </c>
      <c r="F185" s="249">
        <f t="shared" si="0"/>
        <v>27189.100000000035</v>
      </c>
      <c r="G185" s="249">
        <f t="shared" si="0"/>
        <v>16752.999999999942</v>
      </c>
    </row>
    <row r="186" spans="1:7">
      <c r="A186" s="473"/>
      <c r="B186" s="472"/>
      <c r="C186" s="472" t="s">
        <v>22</v>
      </c>
      <c r="D186" s="249">
        <f t="shared" si="0"/>
        <v>6371.8260000000009</v>
      </c>
      <c r="E186" s="249">
        <f t="shared" si="0"/>
        <v>-6064.4700000000303</v>
      </c>
      <c r="F186" s="249">
        <f t="shared" si="0"/>
        <v>2415.1000000000349</v>
      </c>
      <c r="G186" s="249">
        <f t="shared" si="0"/>
        <v>-6664.1000000000931</v>
      </c>
    </row>
  </sheetData>
  <sheetProtection selectLockedCells="1" sort="0" autoFilter="0" pivotTables="0"/>
  <autoFilter ref="A1:G1"/>
  <mergeCells count="2">
    <mergeCell ref="A3:C3"/>
    <mergeCell ref="A81:C81"/>
  </mergeCells>
  <pageMargins left="0.23622047244094491" right="0.23622047244094491" top="0.74803149606299213" bottom="0.74803149606299213" header="0.31496062992125984" footer="0.31496062992125984"/>
  <pageSetup paperSize="9" orientation="landscape" r:id="rId1"/>
  <headerFooter alignWithMargins="0">
    <oddHeader>&amp;LFachgruppe für kantonale Finanzfragen (FkF)
Groupe d'études pour les finances cantonales
&amp;CKanton VD&amp;RZürich, 11.05.2015</oddHeader>
    <oddFooter>&amp;L&amp;F / &amp;A</oddFooter>
  </headerFooter>
  <rowBreaks count="2" manualBreakCount="2">
    <brk id="79" max="16383" man="1"/>
    <brk id="147" max="16383" man="1"/>
  </rowBreaks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"/>
  <sheetViews>
    <sheetView tabSelected="1" view="pageLayout" zoomScaleNormal="100" workbookViewId="0">
      <selection activeCell="L5" sqref="L4:L5"/>
    </sheetView>
  </sheetViews>
  <sheetFormatPr baseColWidth="10" defaultRowHeight="12.75"/>
  <cols>
    <col min="1" max="1" width="11.5703125" style="915" bestFit="1" customWidth="1"/>
    <col min="2" max="2" width="45.5703125" style="915" customWidth="1"/>
    <col min="3" max="3" width="13.28515625" style="915" bestFit="1" customWidth="1"/>
    <col min="4" max="4" width="9.7109375" style="915" customWidth="1"/>
    <col min="5" max="5" width="13.28515625" style="915" bestFit="1" customWidth="1"/>
    <col min="6" max="6" width="11.5703125" style="915" bestFit="1" customWidth="1"/>
    <col min="7" max="7" width="13.28515625" style="915" bestFit="1" customWidth="1"/>
    <col min="8" max="8" width="11.5703125" style="915" bestFit="1" customWidth="1"/>
    <col min="9" max="9" width="13.28515625" style="915" bestFit="1" customWidth="1"/>
    <col min="10" max="16384" width="11.42578125" style="915"/>
  </cols>
  <sheetData>
    <row r="1" spans="1:9">
      <c r="A1" s="852" t="s">
        <v>528</v>
      </c>
      <c r="B1" s="853" t="s">
        <v>647</v>
      </c>
      <c r="C1" s="854" t="s">
        <v>255</v>
      </c>
      <c r="D1" s="855" t="s">
        <v>530</v>
      </c>
      <c r="E1" s="854" t="s">
        <v>254</v>
      </c>
      <c r="F1" s="855" t="s">
        <v>530</v>
      </c>
      <c r="G1" s="854" t="s">
        <v>255</v>
      </c>
      <c r="H1" s="855" t="s">
        <v>530</v>
      </c>
      <c r="I1" s="856" t="s">
        <v>254</v>
      </c>
    </row>
    <row r="2" spans="1:9">
      <c r="A2" s="857">
        <v>0</v>
      </c>
      <c r="B2" s="858">
        <v>0</v>
      </c>
      <c r="C2" s="859">
        <v>2013</v>
      </c>
      <c r="D2" s="860" t="s">
        <v>531</v>
      </c>
      <c r="E2" s="859">
        <v>2014</v>
      </c>
      <c r="F2" s="860" t="s">
        <v>531</v>
      </c>
      <c r="G2" s="861">
        <v>2014</v>
      </c>
      <c r="H2" s="860" t="s">
        <v>531</v>
      </c>
      <c r="I2" s="862">
        <v>2015</v>
      </c>
    </row>
    <row r="3" spans="1:9">
      <c r="A3" s="857">
        <v>0</v>
      </c>
      <c r="B3" s="863" t="s">
        <v>668</v>
      </c>
      <c r="C3" s="864" t="s">
        <v>0</v>
      </c>
      <c r="D3" s="865">
        <v>0</v>
      </c>
      <c r="E3" s="864" t="s">
        <v>0</v>
      </c>
      <c r="F3" s="858">
        <v>0</v>
      </c>
      <c r="G3" s="866" t="s">
        <v>0</v>
      </c>
      <c r="H3" s="858">
        <v>0</v>
      </c>
      <c r="I3" s="867" t="s">
        <v>0</v>
      </c>
    </row>
    <row r="4" spans="1:9">
      <c r="A4" s="852" t="s">
        <v>533</v>
      </c>
      <c r="B4" s="868" t="s">
        <v>250</v>
      </c>
      <c r="C4" s="869">
        <v>23968778.412669998</v>
      </c>
      <c r="D4" s="870">
        <v>4.072707584521694E-2</v>
      </c>
      <c r="E4" s="869">
        <v>24944956.669000007</v>
      </c>
      <c r="F4" s="870">
        <v>9.0139237872248583E-3</v>
      </c>
      <c r="G4" s="869">
        <v>25169808.60729</v>
      </c>
      <c r="H4" s="870">
        <v>-5.5661421591735045E-2</v>
      </c>
      <c r="I4" s="871">
        <v>23768821.279016349</v>
      </c>
    </row>
    <row r="5" spans="1:9">
      <c r="A5" s="872" t="s">
        <v>534</v>
      </c>
      <c r="B5" s="873" t="s">
        <v>535</v>
      </c>
      <c r="C5" s="874">
        <v>8424744.6455400009</v>
      </c>
      <c r="D5" s="875">
        <v>7.4357072744232186E-2</v>
      </c>
      <c r="E5" s="874">
        <v>9051183.9959999993</v>
      </c>
      <c r="F5" s="875">
        <v>2.5938001532589849E-2</v>
      </c>
      <c r="G5" s="874">
        <v>9285953.6203600001</v>
      </c>
      <c r="H5" s="875">
        <v>-2.3049207042179352E-2</v>
      </c>
      <c r="I5" s="876">
        <v>9071919.7527802475</v>
      </c>
    </row>
    <row r="6" spans="1:9">
      <c r="A6" s="872" t="s">
        <v>248</v>
      </c>
      <c r="B6" s="873" t="s">
        <v>536</v>
      </c>
      <c r="C6" s="874">
        <v>1131211.2161400001</v>
      </c>
      <c r="D6" s="875">
        <v>4.988575766827979E-3</v>
      </c>
      <c r="E6" s="874">
        <v>1136854.3490000002</v>
      </c>
      <c r="F6" s="875">
        <v>5.1086983087221876E-3</v>
      </c>
      <c r="G6" s="874">
        <v>1142662.1948899999</v>
      </c>
      <c r="H6" s="875">
        <v>-4.8807995170347875E-2</v>
      </c>
      <c r="I6" s="876">
        <v>1086891.1440004697</v>
      </c>
    </row>
    <row r="7" spans="1:9">
      <c r="A7" s="872" t="s">
        <v>537</v>
      </c>
      <c r="B7" s="873" t="s">
        <v>538</v>
      </c>
      <c r="C7" s="874">
        <v>980926.92094999994</v>
      </c>
      <c r="D7" s="875">
        <v>-3.4115555639547587E-2</v>
      </c>
      <c r="E7" s="874">
        <v>947462.05400000012</v>
      </c>
      <c r="F7" s="875">
        <v>-8.6195812492138243E-2</v>
      </c>
      <c r="G7" s="874">
        <v>865794.79244999995</v>
      </c>
      <c r="H7" s="875">
        <v>0.11030676712636332</v>
      </c>
      <c r="I7" s="876">
        <v>961297.81700000016</v>
      </c>
    </row>
    <row r="8" spans="1:9">
      <c r="A8" s="872" t="s">
        <v>539</v>
      </c>
      <c r="B8" s="873" t="s">
        <v>540</v>
      </c>
      <c r="C8" s="874">
        <v>1522686.0822299998</v>
      </c>
      <c r="D8" s="875">
        <v>-0.89092177833742614</v>
      </c>
      <c r="E8" s="874">
        <v>166091.89000000001</v>
      </c>
      <c r="F8" s="875">
        <v>1.2805726509584545</v>
      </c>
      <c r="G8" s="874">
        <v>378784.62188000005</v>
      </c>
      <c r="H8" s="875">
        <v>-0.57634857454472332</v>
      </c>
      <c r="I8" s="876">
        <v>160472.64500000002</v>
      </c>
    </row>
    <row r="9" spans="1:9">
      <c r="A9" s="872" t="s">
        <v>541</v>
      </c>
      <c r="B9" s="873" t="s">
        <v>542</v>
      </c>
      <c r="C9" s="874">
        <v>3884147.0679600001</v>
      </c>
      <c r="D9" s="875">
        <v>-8.7637639003916551E-2</v>
      </c>
      <c r="E9" s="874">
        <v>3543749.5893800007</v>
      </c>
      <c r="F9" s="875">
        <v>3.4472056726607338E-2</v>
      </c>
      <c r="G9" s="874">
        <v>3665909.9262499996</v>
      </c>
      <c r="H9" s="875">
        <v>4.2570799075697932E-3</v>
      </c>
      <c r="I9" s="876">
        <v>3681515.9977399991</v>
      </c>
    </row>
    <row r="10" spans="1:9">
      <c r="A10" s="872" t="s">
        <v>543</v>
      </c>
      <c r="B10" s="873" t="s">
        <v>544</v>
      </c>
      <c r="C10" s="874">
        <v>45454868.104670011</v>
      </c>
      <c r="D10" s="875">
        <v>1.092674688190268E-2</v>
      </c>
      <c r="E10" s="874">
        <v>45951541.943000011</v>
      </c>
      <c r="F10" s="875">
        <v>9.240168123556821E-3</v>
      </c>
      <c r="G10" s="874">
        <v>46376141.916090004</v>
      </c>
      <c r="H10" s="875">
        <v>1.3282052763778713E-2</v>
      </c>
      <c r="I10" s="876">
        <v>46992112.280000001</v>
      </c>
    </row>
    <row r="11" spans="1:9">
      <c r="A11" s="872" t="s">
        <v>545</v>
      </c>
      <c r="B11" s="873" t="s">
        <v>546</v>
      </c>
      <c r="C11" s="874">
        <v>7214221.2696000002</v>
      </c>
      <c r="D11" s="877">
        <v>0.15632221514360742</v>
      </c>
      <c r="E11" s="874">
        <v>8341964.3190000001</v>
      </c>
      <c r="F11" s="875">
        <v>3.5942340880923802E-2</v>
      </c>
      <c r="G11" s="874">
        <v>8641794.0441700015</v>
      </c>
      <c r="H11" s="875">
        <v>1.4010390575285574E-2</v>
      </c>
      <c r="I11" s="876">
        <v>8762868.9539999999</v>
      </c>
    </row>
    <row r="12" spans="1:9">
      <c r="A12" s="872" t="s">
        <v>547</v>
      </c>
      <c r="B12" s="873" t="s">
        <v>548</v>
      </c>
      <c r="C12" s="874">
        <v>3166515.2198899998</v>
      </c>
      <c r="D12" s="877">
        <v>-2.1504709174385342E-3</v>
      </c>
      <c r="E12" s="874">
        <v>3159705.7209999999</v>
      </c>
      <c r="F12" s="875">
        <v>-0.12511122825225904</v>
      </c>
      <c r="G12" s="874">
        <v>2764391.0573300002</v>
      </c>
      <c r="H12" s="875">
        <v>8.682104401748876E-2</v>
      </c>
      <c r="I12" s="876">
        <v>3004398.3750000005</v>
      </c>
    </row>
    <row r="13" spans="1:9">
      <c r="A13" s="872" t="s">
        <v>549</v>
      </c>
      <c r="B13" s="873" t="s">
        <v>550</v>
      </c>
      <c r="C13" s="874">
        <v>6071593.8475199994</v>
      </c>
      <c r="D13" s="877">
        <v>-0.63198790809884786</v>
      </c>
      <c r="E13" s="874">
        <v>2234419.9529999997</v>
      </c>
      <c r="F13" s="877">
        <v>-4.1846506537170931E-2</v>
      </c>
      <c r="G13" s="874">
        <v>2140917.2838300001</v>
      </c>
      <c r="H13" s="877">
        <v>5.9417958428748356E-2</v>
      </c>
      <c r="I13" s="876">
        <v>2268126.2179999999</v>
      </c>
    </row>
    <row r="14" spans="1:9">
      <c r="A14" s="872" t="s">
        <v>551</v>
      </c>
      <c r="B14" s="873" t="s">
        <v>552</v>
      </c>
      <c r="C14" s="874">
        <v>949763.80784999987</v>
      </c>
      <c r="D14" s="877">
        <v>-0.14089219524264471</v>
      </c>
      <c r="E14" s="874">
        <v>815949.5</v>
      </c>
      <c r="F14" s="875">
        <v>0.41302303092286957</v>
      </c>
      <c r="G14" s="874">
        <v>1152955.43557</v>
      </c>
      <c r="H14" s="875">
        <v>-0.12807705399037908</v>
      </c>
      <c r="I14" s="876">
        <v>1005288.3</v>
      </c>
    </row>
    <row r="15" spans="1:9">
      <c r="A15" s="872" t="s">
        <v>553</v>
      </c>
      <c r="B15" s="873" t="s">
        <v>554</v>
      </c>
      <c r="C15" s="874">
        <v>702439.26013999991</v>
      </c>
      <c r="D15" s="877">
        <v>0.38294234836245955</v>
      </c>
      <c r="E15" s="874">
        <v>971433.00000000012</v>
      </c>
      <c r="F15" s="875">
        <v>-1.2529519925718201E-2</v>
      </c>
      <c r="G15" s="874">
        <v>959261.41086999991</v>
      </c>
      <c r="H15" s="875">
        <v>5.9222114520876015E-2</v>
      </c>
      <c r="I15" s="876">
        <v>1016070.9000000001</v>
      </c>
    </row>
    <row r="16" spans="1:9">
      <c r="A16" s="872" t="s">
        <v>556</v>
      </c>
      <c r="B16" s="873" t="s">
        <v>557</v>
      </c>
      <c r="C16" s="874">
        <v>465929.39578999998</v>
      </c>
      <c r="D16" s="877">
        <v>-0.53316961332477419</v>
      </c>
      <c r="E16" s="874">
        <v>217510</v>
      </c>
      <c r="F16" s="877">
        <v>-0.49837556893935908</v>
      </c>
      <c r="G16" s="874">
        <v>109108.33</v>
      </c>
      <c r="H16" s="877">
        <v>0.59688540737448736</v>
      </c>
      <c r="I16" s="876">
        <v>174233.5</v>
      </c>
    </row>
    <row r="17" spans="1:9">
      <c r="A17" s="872" t="s">
        <v>558</v>
      </c>
      <c r="B17" s="873" t="s">
        <v>559</v>
      </c>
      <c r="C17" s="874">
        <v>871647.67116000003</v>
      </c>
      <c r="D17" s="875">
        <v>-0.61887784366142085</v>
      </c>
      <c r="E17" s="874">
        <v>332204.24</v>
      </c>
      <c r="F17" s="875">
        <v>1.202966542329502</v>
      </c>
      <c r="G17" s="874">
        <v>731834.82594000001</v>
      </c>
      <c r="H17" s="875">
        <v>-0.28618309776524764</v>
      </c>
      <c r="I17" s="876">
        <v>522396.06839999999</v>
      </c>
    </row>
    <row r="18" spans="1:9">
      <c r="A18" s="872">
        <v>389</v>
      </c>
      <c r="B18" s="873" t="s">
        <v>182</v>
      </c>
      <c r="C18" s="874">
        <v>2990.163</v>
      </c>
      <c r="D18" s="877">
        <v>-0.84245006041476667</v>
      </c>
      <c r="E18" s="874">
        <v>471.1</v>
      </c>
      <c r="F18" s="877">
        <v>269.1627335172999</v>
      </c>
      <c r="G18" s="874">
        <v>127273.66376</v>
      </c>
      <c r="H18" s="877">
        <v>-1</v>
      </c>
      <c r="I18" s="876">
        <v>0</v>
      </c>
    </row>
    <row r="19" spans="1:9">
      <c r="A19" s="878" t="s">
        <v>560</v>
      </c>
      <c r="B19" s="879" t="s">
        <v>561</v>
      </c>
      <c r="C19" s="880">
        <v>2380315.6371200001</v>
      </c>
      <c r="D19" s="877">
        <v>3.0026739632932384E-2</v>
      </c>
      <c r="E19" s="880">
        <v>2451788.7549999999</v>
      </c>
      <c r="F19" s="877">
        <v>-2.7626008583272157E-2</v>
      </c>
      <c r="G19" s="880">
        <v>2384055.6178099997</v>
      </c>
      <c r="H19" s="877">
        <v>1.5227373878696621E-2</v>
      </c>
      <c r="I19" s="881">
        <v>2420358.5240499997</v>
      </c>
    </row>
    <row r="20" spans="1:9">
      <c r="A20" s="882" t="s">
        <v>562</v>
      </c>
      <c r="B20" s="943" t="s">
        <v>563</v>
      </c>
      <c r="C20" s="944">
        <v>87491104.705300018</v>
      </c>
      <c r="D20" s="945">
        <v>-1.1618834767536013E-3</v>
      </c>
      <c r="E20" s="944">
        <v>87389450.236380011</v>
      </c>
      <c r="F20" s="945">
        <v>1.8264302511718386E-2</v>
      </c>
      <c r="G20" s="944">
        <v>88985557.591830015</v>
      </c>
      <c r="H20" s="945">
        <v>-1.5807770001236336E-2</v>
      </c>
      <c r="I20" s="883">
        <v>87578894.363986596</v>
      </c>
    </row>
    <row r="21" spans="1:9">
      <c r="A21" s="884" t="s">
        <v>564</v>
      </c>
      <c r="B21" s="885" t="s">
        <v>565</v>
      </c>
      <c r="C21" s="869">
        <v>38581196.275250003</v>
      </c>
      <c r="D21" s="875">
        <v>-1.7254850182213319E-2</v>
      </c>
      <c r="E21" s="869">
        <v>37915483.513669997</v>
      </c>
      <c r="F21" s="875">
        <v>5.8755821797627063E-3</v>
      </c>
      <c r="G21" s="869">
        <v>38138259.052940004</v>
      </c>
      <c r="H21" s="875">
        <v>1.0982980515145114E-2</v>
      </c>
      <c r="I21" s="871">
        <v>38557130.809</v>
      </c>
    </row>
    <row r="22" spans="1:9">
      <c r="A22" s="886" t="s">
        <v>566</v>
      </c>
      <c r="B22" s="887" t="s">
        <v>567</v>
      </c>
      <c r="C22" s="874">
        <v>3734864.5214499999</v>
      </c>
      <c r="D22" s="875">
        <v>0.22404640750533378</v>
      </c>
      <c r="E22" s="874">
        <v>4571647.5</v>
      </c>
      <c r="F22" s="875">
        <v>0.12826064360386466</v>
      </c>
      <c r="G22" s="874">
        <v>5158009.9506799988</v>
      </c>
      <c r="H22" s="875">
        <v>-5.1906927912130571E-2</v>
      </c>
      <c r="I22" s="876">
        <v>4890273.5</v>
      </c>
    </row>
    <row r="23" spans="1:9">
      <c r="A23" s="886" t="s">
        <v>568</v>
      </c>
      <c r="B23" s="887" t="s">
        <v>569</v>
      </c>
      <c r="C23" s="874">
        <v>3262431.3628399996</v>
      </c>
      <c r="D23" s="875">
        <v>-0.16134047840374871</v>
      </c>
      <c r="E23" s="874">
        <v>2736069.1260000002</v>
      </c>
      <c r="F23" s="875">
        <v>0.16026741366036637</v>
      </c>
      <c r="G23" s="874">
        <v>3174571.8484199992</v>
      </c>
      <c r="H23" s="875">
        <v>-0.18233326163592298</v>
      </c>
      <c r="I23" s="876">
        <v>2595741.8089999999</v>
      </c>
    </row>
    <row r="24" spans="1:9">
      <c r="A24" s="886" t="s">
        <v>570</v>
      </c>
      <c r="B24" s="887" t="s">
        <v>571</v>
      </c>
      <c r="C24" s="874">
        <v>10126123.201169999</v>
      </c>
      <c r="D24" s="875">
        <v>-8.3644534175935467E-2</v>
      </c>
      <c r="E24" s="874">
        <v>9279128.3430000022</v>
      </c>
      <c r="F24" s="875">
        <v>1.5068510397905854E-2</v>
      </c>
      <c r="G24" s="874">
        <v>9418950.9849200007</v>
      </c>
      <c r="H24" s="875">
        <v>-3.7371811326287974E-2</v>
      </c>
      <c r="I24" s="876">
        <v>9066947.7258200161</v>
      </c>
    </row>
    <row r="25" spans="1:9">
      <c r="A25" s="886" t="s">
        <v>572</v>
      </c>
      <c r="B25" s="887" t="s">
        <v>573</v>
      </c>
      <c r="C25" s="874">
        <v>27963365.019600004</v>
      </c>
      <c r="D25" s="875">
        <v>5.9275612753980148E-3</v>
      </c>
      <c r="E25" s="874">
        <v>28129119.579220004</v>
      </c>
      <c r="F25" s="875">
        <v>8.7028702199708884E-3</v>
      </c>
      <c r="G25" s="874">
        <v>28373923.656319998</v>
      </c>
      <c r="H25" s="875">
        <v>1.3077981160160956E-2</v>
      </c>
      <c r="I25" s="876">
        <v>28744997.295337196</v>
      </c>
    </row>
    <row r="26" spans="1:9">
      <c r="A26" s="888" t="s">
        <v>574</v>
      </c>
      <c r="B26" s="887" t="s">
        <v>575</v>
      </c>
      <c r="C26" s="874">
        <v>853282.44808999996</v>
      </c>
      <c r="D26" s="875">
        <v>-9.3512895136434307E-2</v>
      </c>
      <c r="E26" s="874">
        <v>773489.53599999985</v>
      </c>
      <c r="F26" s="875">
        <v>-9.5661997708007707E-2</v>
      </c>
      <c r="G26" s="874">
        <v>699495.98177999991</v>
      </c>
      <c r="H26" s="875">
        <v>0.16515481751020877</v>
      </c>
      <c r="I26" s="876">
        <v>815021.11300000013</v>
      </c>
    </row>
    <row r="27" spans="1:9">
      <c r="A27" s="889">
        <v>489</v>
      </c>
      <c r="B27" s="887" t="s">
        <v>170</v>
      </c>
      <c r="C27" s="874">
        <v>117803.49</v>
      </c>
      <c r="D27" s="875">
        <v>0.12201832899857197</v>
      </c>
      <c r="E27" s="874">
        <v>132177.67499999999</v>
      </c>
      <c r="F27" s="875">
        <v>3.8891579080962023E-3</v>
      </c>
      <c r="G27" s="874">
        <v>132691.73485000001</v>
      </c>
      <c r="H27" s="875">
        <v>-0.33675673093364483</v>
      </c>
      <c r="I27" s="876">
        <v>88006.900000000009</v>
      </c>
    </row>
    <row r="28" spans="1:9">
      <c r="A28" s="890" t="s">
        <v>576</v>
      </c>
      <c r="B28" s="891" t="s">
        <v>577</v>
      </c>
      <c r="C28" s="880">
        <v>2380315.6371200001</v>
      </c>
      <c r="D28" s="875">
        <v>3.0310609548948115E-2</v>
      </c>
      <c r="E28" s="880">
        <v>2452464.4550000001</v>
      </c>
      <c r="F28" s="875">
        <v>-2.7894323626394959E-2</v>
      </c>
      <c r="G28" s="880">
        <v>2384054.6178099997</v>
      </c>
      <c r="H28" s="875">
        <v>1.3328346591819737E-2</v>
      </c>
      <c r="I28" s="881">
        <v>2415830.1240499998</v>
      </c>
    </row>
    <row r="29" spans="1:9">
      <c r="A29" s="892" t="s">
        <v>578</v>
      </c>
      <c r="B29" s="946" t="s">
        <v>579</v>
      </c>
      <c r="C29" s="944">
        <v>87019381.955519989</v>
      </c>
      <c r="D29" s="893">
        <v>-1.183417078457732E-2</v>
      </c>
      <c r="E29" s="944">
        <v>85989579.72789</v>
      </c>
      <c r="F29" s="893">
        <v>1.7332077962774309E-2</v>
      </c>
      <c r="G29" s="944">
        <v>87479957.827719986</v>
      </c>
      <c r="H29" s="947">
        <v>-3.4980418270821609E-3</v>
      </c>
      <c r="I29" s="883">
        <v>87173949.276207238</v>
      </c>
    </row>
    <row r="30" spans="1:9">
      <c r="A30" s="894" t="s">
        <v>580</v>
      </c>
      <c r="B30" s="895" t="s">
        <v>581</v>
      </c>
      <c r="C30" s="896">
        <v>-471722.74978002906</v>
      </c>
      <c r="D30" s="948">
        <v>0</v>
      </c>
      <c r="E30" s="896">
        <v>-1399870.5084900111</v>
      </c>
      <c r="F30" s="948">
        <v>0</v>
      </c>
      <c r="G30" s="897">
        <v>-1505599.7641100287</v>
      </c>
      <c r="H30" s="898">
        <v>0</v>
      </c>
      <c r="I30" s="899">
        <v>-404945.08777935803</v>
      </c>
    </row>
    <row r="31" spans="1:9">
      <c r="A31" s="900">
        <v>0</v>
      </c>
      <c r="B31" s="885" t="s">
        <v>582</v>
      </c>
      <c r="C31" s="901">
        <v>0</v>
      </c>
      <c r="D31" s="902">
        <v>0</v>
      </c>
      <c r="E31" s="901">
        <v>0</v>
      </c>
      <c r="F31" s="902">
        <v>0</v>
      </c>
      <c r="G31" s="901">
        <v>0</v>
      </c>
      <c r="H31" s="901">
        <v>0</v>
      </c>
      <c r="I31" s="903">
        <v>0</v>
      </c>
    </row>
    <row r="32" spans="1:9">
      <c r="A32" s="888" t="s">
        <v>583</v>
      </c>
      <c r="B32" s="887" t="s">
        <v>584</v>
      </c>
      <c r="C32" s="874">
        <v>4375840.78376</v>
      </c>
      <c r="D32" s="875">
        <v>1.2684266860438081E-2</v>
      </c>
      <c r="E32" s="874">
        <v>4431345.1160000004</v>
      </c>
      <c r="F32" s="875">
        <v>-3.2287335245770668E-2</v>
      </c>
      <c r="G32" s="874">
        <v>4288268.7906499999</v>
      </c>
      <c r="H32" s="875">
        <v>0.16771767010457944</v>
      </c>
      <c r="I32" s="876">
        <v>5007487.2410000004</v>
      </c>
    </row>
    <row r="33" spans="1:9">
      <c r="A33" s="888" t="s">
        <v>585</v>
      </c>
      <c r="B33" s="887" t="s">
        <v>586</v>
      </c>
      <c r="C33" s="874">
        <v>584640.10083000013</v>
      </c>
      <c r="D33" s="875">
        <v>0.28059262260167922</v>
      </c>
      <c r="E33" s="874">
        <v>748685.8</v>
      </c>
      <c r="F33" s="875">
        <v>-6.5611551334351509E-2</v>
      </c>
      <c r="G33" s="874">
        <v>699563.36320000002</v>
      </c>
      <c r="H33" s="875">
        <v>0.5490884128678738</v>
      </c>
      <c r="I33" s="876">
        <v>1083685.5</v>
      </c>
    </row>
    <row r="34" spans="1:9">
      <c r="A34" s="886" t="s">
        <v>587</v>
      </c>
      <c r="B34" s="887" t="s">
        <v>588</v>
      </c>
      <c r="C34" s="874">
        <v>1671554.1384699999</v>
      </c>
      <c r="D34" s="875">
        <v>7.8881502247177257E-2</v>
      </c>
      <c r="E34" s="874">
        <v>1803408.8399999996</v>
      </c>
      <c r="F34" s="875">
        <v>-0.1018750910414743</v>
      </c>
      <c r="G34" s="874">
        <v>1619686.4002400001</v>
      </c>
      <c r="H34" s="875">
        <v>9.1105282935100826E-2</v>
      </c>
      <c r="I34" s="876">
        <v>1767248.3880000003</v>
      </c>
    </row>
    <row r="35" spans="1:9">
      <c r="A35" s="892" t="s">
        <v>589</v>
      </c>
      <c r="B35" s="946" t="s">
        <v>590</v>
      </c>
      <c r="C35" s="944">
        <v>6632035.0230599996</v>
      </c>
      <c r="D35" s="947">
        <v>5.2985958565982282E-2</v>
      </c>
      <c r="E35" s="944">
        <v>6983439.7560000001</v>
      </c>
      <c r="F35" s="947">
        <v>-5.3830378014934128E-2</v>
      </c>
      <c r="G35" s="944">
        <v>6607518.5540900007</v>
      </c>
      <c r="H35" s="947">
        <v>0.18931503024470531</v>
      </c>
      <c r="I35" s="883">
        <v>7858421.1290000007</v>
      </c>
    </row>
    <row r="36" spans="1:9">
      <c r="A36" s="886" t="s">
        <v>591</v>
      </c>
      <c r="B36" s="887" t="s">
        <v>592</v>
      </c>
      <c r="C36" s="874">
        <v>315844.72193</v>
      </c>
      <c r="D36" s="875">
        <v>-0.80908498444573007</v>
      </c>
      <c r="E36" s="874">
        <v>60299.5</v>
      </c>
      <c r="F36" s="875">
        <v>-0.38844277033806252</v>
      </c>
      <c r="G36" s="874">
        <v>36876.595170000001</v>
      </c>
      <c r="H36" s="875">
        <v>3.3331493122769231</v>
      </c>
      <c r="I36" s="876">
        <v>159791.79300000001</v>
      </c>
    </row>
    <row r="37" spans="1:9">
      <c r="A37" s="886" t="s">
        <v>593</v>
      </c>
      <c r="B37" s="887" t="s">
        <v>594</v>
      </c>
      <c r="C37" s="874">
        <v>2182519.8199</v>
      </c>
      <c r="D37" s="875">
        <v>-0.11861361007565177</v>
      </c>
      <c r="E37" s="874">
        <v>1923643.2649999997</v>
      </c>
      <c r="F37" s="875">
        <v>0.26444995929377801</v>
      </c>
      <c r="G37" s="874">
        <v>2432350.6481249998</v>
      </c>
      <c r="H37" s="875">
        <v>-0.15623498915254699</v>
      </c>
      <c r="I37" s="876">
        <v>2052332.3709999998</v>
      </c>
    </row>
    <row r="38" spans="1:9">
      <c r="A38" s="892" t="s">
        <v>595</v>
      </c>
      <c r="B38" s="946" t="s">
        <v>596</v>
      </c>
      <c r="C38" s="944">
        <v>2498364.5418299995</v>
      </c>
      <c r="D38" s="947">
        <v>-0.20590340929718637</v>
      </c>
      <c r="E38" s="944">
        <v>1983942.7649999997</v>
      </c>
      <c r="F38" s="947">
        <v>0.24460608786514126</v>
      </c>
      <c r="G38" s="944">
        <v>2469227.2432950009</v>
      </c>
      <c r="H38" s="947">
        <v>-0.10412289107579907</v>
      </c>
      <c r="I38" s="883">
        <v>2212124.1639999999</v>
      </c>
    </row>
    <row r="39" spans="1:9">
      <c r="A39" s="904" t="s">
        <v>597</v>
      </c>
      <c r="B39" s="905" t="s">
        <v>3</v>
      </c>
      <c r="C39" s="906">
        <v>4133670.4812300005</v>
      </c>
      <c r="D39" s="907">
        <v>0.20945707058690552</v>
      </c>
      <c r="E39" s="906">
        <v>4999496.9910000004</v>
      </c>
      <c r="F39" s="907">
        <v>-0.17225846555270002</v>
      </c>
      <c r="G39" s="906">
        <v>4138291.3107949994</v>
      </c>
      <c r="H39" s="907">
        <v>0.36440297237443686</v>
      </c>
      <c r="I39" s="908">
        <v>5646296.9650000017</v>
      </c>
    </row>
    <row r="40" spans="1:9">
      <c r="A40" s="857" t="s">
        <v>0</v>
      </c>
      <c r="B40" s="887" t="s">
        <v>85</v>
      </c>
      <c r="C40" s="874">
        <v>3297610.991179971</v>
      </c>
      <c r="D40" s="875">
        <v>-0.38980901286662017</v>
      </c>
      <c r="E40" s="874">
        <v>2012172.5058899897</v>
      </c>
      <c r="F40" s="875">
        <v>7.0928106184840078E-2</v>
      </c>
      <c r="G40" s="874">
        <v>2154892.0910499706</v>
      </c>
      <c r="H40" s="875">
        <v>0.47968616303520528</v>
      </c>
      <c r="I40" s="876">
        <v>3188564.0099606412</v>
      </c>
    </row>
    <row r="41" spans="1:9">
      <c r="A41" s="857" t="s">
        <v>0</v>
      </c>
      <c r="B41" s="887" t="s">
        <v>598</v>
      </c>
      <c r="C41" s="874">
        <v>-836059.49005002948</v>
      </c>
      <c r="D41" s="875">
        <v>2.5731003841978404</v>
      </c>
      <c r="E41" s="874">
        <v>-2987324.485110011</v>
      </c>
      <c r="F41" s="875">
        <v>-0.33606167336991238</v>
      </c>
      <c r="G41" s="874">
        <v>-1983399.2197450288</v>
      </c>
      <c r="H41" s="875">
        <v>0.23915192189866277</v>
      </c>
      <c r="I41" s="876">
        <v>-2457732.9550393606</v>
      </c>
    </row>
    <row r="42" spans="1:9">
      <c r="A42" s="909" t="s">
        <v>0</v>
      </c>
      <c r="B42" s="891" t="s">
        <v>599</v>
      </c>
      <c r="C42" s="880">
        <v>85461353.106890023</v>
      </c>
      <c r="D42" s="910">
        <v>2.8284496128755113E-2</v>
      </c>
      <c r="E42" s="880">
        <v>87878584.418000028</v>
      </c>
      <c r="F42" s="910">
        <v>4.8548013728883319E-3</v>
      </c>
      <c r="G42" s="880">
        <v>88305217.490280017</v>
      </c>
      <c r="H42" s="910">
        <v>3.9335701489531744E-3</v>
      </c>
      <c r="I42" s="881">
        <v>88652572.2577966</v>
      </c>
    </row>
    <row r="43" spans="1:9">
      <c r="A43" s="909">
        <v>0</v>
      </c>
      <c r="B43" s="891" t="s">
        <v>5</v>
      </c>
      <c r="C43" s="911">
        <v>0.87393620704007169</v>
      </c>
      <c r="D43" s="912">
        <v>0</v>
      </c>
      <c r="E43" s="911">
        <v>0.5722273565053132</v>
      </c>
      <c r="F43" s="913">
        <v>0</v>
      </c>
      <c r="G43" s="911">
        <v>0.69982691633649363</v>
      </c>
      <c r="H43" s="913">
        <v>0</v>
      </c>
      <c r="I43" s="914">
        <v>0.68724850517751379</v>
      </c>
    </row>
  </sheetData>
  <pageMargins left="0.78740157480314965" right="0.43307086614173229" top="0.98425196850393704" bottom="0.51181102362204722" header="0.51181102362204722" footer="0.23622047244094491"/>
  <pageSetup paperSize="9" scale="89" orientation="landscape" r:id="rId1"/>
  <headerFooter alignWithMargins="0">
    <oddHeader>&amp;LFachgruppe für kantonale Finanzfragen (FkF)
Groupe d'études pour les finances cantonales&amp;CRechnung 2013 - Budget 2015
Compte 2013 - Budget 2015&amp;RZürich, 11.05.2015</oddHeader>
    <oddFooter>&amp;LQuelle: FkF Mai 2015&amp;RBlatt &amp;P /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4"/>
  <dimension ref="A1:I43"/>
  <sheetViews>
    <sheetView zoomScaleNormal="100" workbookViewId="0">
      <selection activeCell="B51" sqref="B51"/>
    </sheetView>
  </sheetViews>
  <sheetFormatPr baseColWidth="10" defaultRowHeight="12.75"/>
  <cols>
    <col min="1" max="1" width="10.42578125" customWidth="1"/>
    <col min="2" max="2" width="52.42578125" bestFit="1" customWidth="1"/>
    <col min="3" max="3" width="12.28515625" bestFit="1" customWidth="1"/>
    <col min="4" max="4" width="11.5703125" bestFit="1" customWidth="1"/>
    <col min="5" max="5" width="12.28515625" bestFit="1" customWidth="1"/>
    <col min="6" max="7" width="11.5703125" bestFit="1" customWidth="1"/>
    <col min="8" max="8" width="11.5703125" style="65" bestFit="1" customWidth="1"/>
    <col min="9" max="9" width="12.28515625" bestFit="1" customWidth="1"/>
  </cols>
  <sheetData>
    <row r="1" spans="1:9">
      <c r="A1" s="5" t="s">
        <v>528</v>
      </c>
      <c r="B1" s="6" t="s">
        <v>600</v>
      </c>
      <c r="C1" s="54" t="s">
        <v>255</v>
      </c>
      <c r="D1" s="7" t="s">
        <v>530</v>
      </c>
      <c r="E1" s="54" t="s">
        <v>254</v>
      </c>
      <c r="F1" s="7" t="s">
        <v>530</v>
      </c>
      <c r="G1" s="54" t="s">
        <v>255</v>
      </c>
      <c r="H1" s="7" t="s">
        <v>530</v>
      </c>
      <c r="I1" s="55" t="s">
        <v>254</v>
      </c>
    </row>
    <row r="2" spans="1:9">
      <c r="A2" s="112">
        <v>0</v>
      </c>
      <c r="B2" s="115">
        <v>0</v>
      </c>
      <c r="C2" s="62">
        <v>2013</v>
      </c>
      <c r="D2" s="3" t="s">
        <v>531</v>
      </c>
      <c r="E2" s="62">
        <v>2014</v>
      </c>
      <c r="F2" s="3" t="s">
        <v>531</v>
      </c>
      <c r="G2" s="63">
        <v>2014</v>
      </c>
      <c r="H2" s="3" t="s">
        <v>531</v>
      </c>
      <c r="I2" s="64">
        <v>2015</v>
      </c>
    </row>
    <row r="3" spans="1:9">
      <c r="A3" s="112">
        <v>0</v>
      </c>
      <c r="B3" s="2" t="s">
        <v>532</v>
      </c>
      <c r="C3" s="114">
        <v>0</v>
      </c>
      <c r="D3" s="113">
        <v>0</v>
      </c>
      <c r="E3" s="114">
        <v>0</v>
      </c>
      <c r="F3" s="115">
        <v>0</v>
      </c>
      <c r="G3" s="116">
        <v>0</v>
      </c>
      <c r="H3" s="113">
        <v>0</v>
      </c>
      <c r="I3" s="105">
        <v>0</v>
      </c>
    </row>
    <row r="4" spans="1:9">
      <c r="A4" s="5" t="s">
        <v>533</v>
      </c>
      <c r="B4" s="9" t="s">
        <v>250</v>
      </c>
      <c r="C4" s="10">
        <v>215557</v>
      </c>
      <c r="D4" s="11">
        <v>2.5116326540079885E-2</v>
      </c>
      <c r="E4" s="10">
        <v>220971</v>
      </c>
      <c r="F4" s="11">
        <v>0.15709301220522151</v>
      </c>
      <c r="G4" s="10">
        <v>255684</v>
      </c>
      <c r="H4" s="241">
        <v>-0.12084056882714601</v>
      </c>
      <c r="I4" s="12">
        <v>224787</v>
      </c>
    </row>
    <row r="5" spans="1:9">
      <c r="A5" s="13" t="s">
        <v>534</v>
      </c>
      <c r="B5" s="14" t="s">
        <v>535</v>
      </c>
      <c r="C5" s="15">
        <v>81941</v>
      </c>
      <c r="D5" s="16">
        <v>9.5556558987564225E-2</v>
      </c>
      <c r="E5" s="15">
        <v>89771</v>
      </c>
      <c r="F5" s="16">
        <v>-5.6254246917155873E-2</v>
      </c>
      <c r="G5" s="15">
        <v>84721</v>
      </c>
      <c r="H5" s="41">
        <v>4.4888516424499238E-2</v>
      </c>
      <c r="I5" s="17">
        <v>88524</v>
      </c>
    </row>
    <row r="6" spans="1:9">
      <c r="A6" s="13" t="s">
        <v>248</v>
      </c>
      <c r="B6" s="14" t="s">
        <v>536</v>
      </c>
      <c r="C6" s="15">
        <v>18345</v>
      </c>
      <c r="D6" s="16">
        <v>0.19422185881711637</v>
      </c>
      <c r="E6" s="15">
        <v>21908</v>
      </c>
      <c r="F6" s="16">
        <v>3.2408252693080153E-3</v>
      </c>
      <c r="G6" s="15">
        <v>21979</v>
      </c>
      <c r="H6" s="41">
        <v>-6.7018517675963424E-2</v>
      </c>
      <c r="I6" s="17">
        <v>20506</v>
      </c>
    </row>
    <row r="7" spans="1:9">
      <c r="A7" s="13" t="s">
        <v>537</v>
      </c>
      <c r="B7" s="14" t="s">
        <v>538</v>
      </c>
      <c r="C7" s="15">
        <v>5177</v>
      </c>
      <c r="D7" s="16">
        <v>1.1010237589337455E-2</v>
      </c>
      <c r="E7" s="15">
        <v>5234</v>
      </c>
      <c r="F7" s="16">
        <v>8.4065724111578137E-3</v>
      </c>
      <c r="G7" s="15">
        <v>5278</v>
      </c>
      <c r="H7" s="41">
        <v>5.683971201212581E-4</v>
      </c>
      <c r="I7" s="17">
        <v>5281</v>
      </c>
    </row>
    <row r="8" spans="1:9">
      <c r="A8" s="13" t="s">
        <v>539</v>
      </c>
      <c r="B8" s="14" t="s">
        <v>540</v>
      </c>
      <c r="C8" s="15">
        <v>0</v>
      </c>
      <c r="D8" s="16" t="s">
        <v>555</v>
      </c>
      <c r="E8" s="15">
        <v>0</v>
      </c>
      <c r="F8" s="16" t="s">
        <v>555</v>
      </c>
      <c r="G8" s="15">
        <v>0</v>
      </c>
      <c r="H8" s="41" t="s">
        <v>555</v>
      </c>
      <c r="I8" s="17">
        <v>0</v>
      </c>
    </row>
    <row r="9" spans="1:9">
      <c r="A9" s="13" t="s">
        <v>541</v>
      </c>
      <c r="B9" s="14" t="s">
        <v>542</v>
      </c>
      <c r="C9" s="15">
        <v>77216</v>
      </c>
      <c r="D9" s="16">
        <v>-2.9916079569001245E-3</v>
      </c>
      <c r="E9" s="15">
        <v>76985</v>
      </c>
      <c r="F9" s="16">
        <v>-1.2405013963759174E-2</v>
      </c>
      <c r="G9" s="15">
        <v>76030</v>
      </c>
      <c r="H9" s="41">
        <v>2.2648954360121005E-2</v>
      </c>
      <c r="I9" s="17">
        <v>77752</v>
      </c>
    </row>
    <row r="10" spans="1:9">
      <c r="A10" s="13" t="s">
        <v>543</v>
      </c>
      <c r="B10" s="14" t="s">
        <v>544</v>
      </c>
      <c r="C10" s="15">
        <v>841193</v>
      </c>
      <c r="D10" s="16">
        <v>2.6827374930604511E-2</v>
      </c>
      <c r="E10" s="15">
        <v>863760</v>
      </c>
      <c r="F10" s="16">
        <v>1.2073955728443086E-2</v>
      </c>
      <c r="G10" s="15">
        <v>874189</v>
      </c>
      <c r="H10" s="41">
        <v>4.8196671429176073E-2</v>
      </c>
      <c r="I10" s="17">
        <v>916322</v>
      </c>
    </row>
    <row r="11" spans="1:9">
      <c r="A11" s="13" t="s">
        <v>545</v>
      </c>
      <c r="B11" s="14" t="s">
        <v>546</v>
      </c>
      <c r="C11" s="15">
        <v>4410</v>
      </c>
      <c r="D11" s="41">
        <v>1.1086167800453515</v>
      </c>
      <c r="E11" s="15">
        <v>9299</v>
      </c>
      <c r="F11" s="16">
        <v>-5.4199376277019033E-2</v>
      </c>
      <c r="G11" s="15">
        <v>8795</v>
      </c>
      <c r="H11" s="41">
        <v>5.7305287094940309E-2</v>
      </c>
      <c r="I11" s="17">
        <v>9299</v>
      </c>
    </row>
    <row r="12" spans="1:9">
      <c r="A12" s="13" t="s">
        <v>547</v>
      </c>
      <c r="B12" s="14" t="s">
        <v>548</v>
      </c>
      <c r="C12" s="15">
        <v>34805</v>
      </c>
      <c r="D12" s="41">
        <v>9.3262462289900872E-2</v>
      </c>
      <c r="E12" s="15">
        <v>38051</v>
      </c>
      <c r="F12" s="16">
        <v>-0.14527870489606054</v>
      </c>
      <c r="G12" s="15">
        <v>32523</v>
      </c>
      <c r="H12" s="41">
        <v>9.3472311902346034E-2</v>
      </c>
      <c r="I12" s="17">
        <v>35563</v>
      </c>
    </row>
    <row r="13" spans="1:9">
      <c r="A13" s="13" t="s">
        <v>549</v>
      </c>
      <c r="B13" s="14" t="s">
        <v>550</v>
      </c>
      <c r="C13" s="15">
        <v>203025</v>
      </c>
      <c r="D13" s="41">
        <v>1.8475557197389483E-2</v>
      </c>
      <c r="E13" s="15">
        <v>206776</v>
      </c>
      <c r="F13" s="41">
        <v>2.3406971795566216E-2</v>
      </c>
      <c r="G13" s="15">
        <v>211616</v>
      </c>
      <c r="H13" s="41">
        <v>6.9021246030545894E-2</v>
      </c>
      <c r="I13" s="17">
        <v>226222</v>
      </c>
    </row>
    <row r="14" spans="1:9">
      <c r="A14" s="13" t="s">
        <v>551</v>
      </c>
      <c r="B14" s="14" t="s">
        <v>552</v>
      </c>
      <c r="C14" s="15">
        <v>0</v>
      </c>
      <c r="D14" s="41" t="s">
        <v>555</v>
      </c>
      <c r="E14" s="15">
        <v>0</v>
      </c>
      <c r="F14" s="16" t="s">
        <v>555</v>
      </c>
      <c r="G14" s="15">
        <v>0</v>
      </c>
      <c r="H14" s="41" t="s">
        <v>555</v>
      </c>
      <c r="I14" s="17">
        <v>0</v>
      </c>
    </row>
    <row r="15" spans="1:9">
      <c r="A15" s="13" t="s">
        <v>553</v>
      </c>
      <c r="B15" s="14" t="s">
        <v>554</v>
      </c>
      <c r="C15" s="15">
        <v>0</v>
      </c>
      <c r="D15" s="41" t="s">
        <v>555</v>
      </c>
      <c r="E15" s="15">
        <v>0</v>
      </c>
      <c r="F15" s="16" t="s">
        <v>555</v>
      </c>
      <c r="G15" s="15">
        <v>0</v>
      </c>
      <c r="H15" s="41" t="s">
        <v>555</v>
      </c>
      <c r="I15" s="17">
        <v>0</v>
      </c>
    </row>
    <row r="16" spans="1:9">
      <c r="A16" s="13" t="s">
        <v>556</v>
      </c>
      <c r="B16" s="14" t="s">
        <v>557</v>
      </c>
      <c r="C16" s="15">
        <v>79403</v>
      </c>
      <c r="D16" s="41">
        <v>-1.5528380539778093E-2</v>
      </c>
      <c r="E16" s="15">
        <v>78170</v>
      </c>
      <c r="F16" s="41">
        <v>-0.85340923627990273</v>
      </c>
      <c r="G16" s="15">
        <v>11459</v>
      </c>
      <c r="H16" s="41">
        <v>5.8317479710271405</v>
      </c>
      <c r="I16" s="17">
        <v>78285</v>
      </c>
    </row>
    <row r="17" spans="1:9">
      <c r="A17" s="13" t="s">
        <v>558</v>
      </c>
      <c r="B17" s="14" t="s">
        <v>559</v>
      </c>
      <c r="C17" s="15">
        <v>10981</v>
      </c>
      <c r="D17" s="16">
        <v>-0.92714689008287043</v>
      </c>
      <c r="E17" s="15">
        <v>800</v>
      </c>
      <c r="F17" s="16">
        <v>0.20874999999999999</v>
      </c>
      <c r="G17" s="15">
        <v>967</v>
      </c>
      <c r="H17" s="41">
        <v>-0.20372285418821096</v>
      </c>
      <c r="I17" s="17">
        <v>770</v>
      </c>
    </row>
    <row r="18" spans="1:9">
      <c r="A18" s="13">
        <v>389</v>
      </c>
      <c r="B18" s="14" t="s">
        <v>182</v>
      </c>
      <c r="C18" s="15">
        <v>0</v>
      </c>
      <c r="D18" s="41" t="s">
        <v>555</v>
      </c>
      <c r="E18" s="15">
        <v>0</v>
      </c>
      <c r="F18" s="41" t="s">
        <v>555</v>
      </c>
      <c r="G18" s="15">
        <v>0</v>
      </c>
      <c r="H18" s="41" t="s">
        <v>555</v>
      </c>
      <c r="I18" s="17">
        <v>0</v>
      </c>
    </row>
    <row r="19" spans="1:9">
      <c r="A19" s="18" t="s">
        <v>560</v>
      </c>
      <c r="B19" s="19" t="s">
        <v>561</v>
      </c>
      <c r="C19" s="20">
        <v>107786</v>
      </c>
      <c r="D19" s="41">
        <v>-2.4465143896238845E-2</v>
      </c>
      <c r="E19" s="20">
        <v>105149</v>
      </c>
      <c r="F19" s="41">
        <v>-5.9249255817934547E-2</v>
      </c>
      <c r="G19" s="20">
        <v>98919</v>
      </c>
      <c r="H19" s="41">
        <v>-0.15807883217582061</v>
      </c>
      <c r="I19" s="21">
        <v>83282</v>
      </c>
    </row>
    <row r="20" spans="1:9">
      <c r="A20" s="22" t="s">
        <v>562</v>
      </c>
      <c r="B20" s="23" t="s">
        <v>563</v>
      </c>
      <c r="C20" s="24">
        <v>1339851</v>
      </c>
      <c r="D20" s="25">
        <v>1.703099822293673E-2</v>
      </c>
      <c r="E20" s="24">
        <v>1362670</v>
      </c>
      <c r="F20" s="25">
        <v>2.4303756595507351E-2</v>
      </c>
      <c r="G20" s="24">
        <v>1395788</v>
      </c>
      <c r="H20" s="242">
        <v>6.662902962340986E-4</v>
      </c>
      <c r="I20" s="26">
        <v>1396718</v>
      </c>
    </row>
    <row r="21" spans="1:9">
      <c r="A21" s="27" t="s">
        <v>564</v>
      </c>
      <c r="B21" s="28" t="s">
        <v>565</v>
      </c>
      <c r="C21" s="10">
        <v>480106</v>
      </c>
      <c r="D21" s="16">
        <v>9.3129433916676732E-2</v>
      </c>
      <c r="E21" s="10">
        <v>524818</v>
      </c>
      <c r="F21" s="16">
        <v>-0.11688242400222554</v>
      </c>
      <c r="G21" s="10">
        <v>463476</v>
      </c>
      <c r="H21" s="41">
        <v>0.29703371911382681</v>
      </c>
      <c r="I21" s="12">
        <v>601144</v>
      </c>
    </row>
    <row r="22" spans="1:9">
      <c r="A22" s="8" t="s">
        <v>566</v>
      </c>
      <c r="B22" s="29" t="s">
        <v>567</v>
      </c>
      <c r="C22" s="15">
        <v>50580</v>
      </c>
      <c r="D22" s="16">
        <v>3.1633056544088572E-2</v>
      </c>
      <c r="E22" s="15">
        <v>52180</v>
      </c>
      <c r="F22" s="16">
        <v>-5.4043694902261401E-3</v>
      </c>
      <c r="G22" s="15">
        <v>51898</v>
      </c>
      <c r="H22" s="41">
        <v>3.819029635053374E-2</v>
      </c>
      <c r="I22" s="17">
        <v>53880</v>
      </c>
    </row>
    <row r="23" spans="1:9">
      <c r="A23" s="8" t="s">
        <v>568</v>
      </c>
      <c r="B23" s="29" t="s">
        <v>569</v>
      </c>
      <c r="C23" s="15">
        <v>58575</v>
      </c>
      <c r="D23" s="16">
        <v>-0.13119931711481006</v>
      </c>
      <c r="E23" s="15">
        <v>50890</v>
      </c>
      <c r="F23" s="16">
        <v>-4.0990371389270974E-2</v>
      </c>
      <c r="G23" s="15">
        <v>48804</v>
      </c>
      <c r="H23" s="41">
        <v>-0.12101467092861241</v>
      </c>
      <c r="I23" s="17">
        <v>42898</v>
      </c>
    </row>
    <row r="24" spans="1:9">
      <c r="A24" s="8" t="s">
        <v>570</v>
      </c>
      <c r="B24" s="29" t="s">
        <v>571</v>
      </c>
      <c r="C24" s="15">
        <v>71377</v>
      </c>
      <c r="D24" s="16">
        <v>3.4913207335696375E-2</v>
      </c>
      <c r="E24" s="15">
        <v>73869</v>
      </c>
      <c r="F24" s="16">
        <v>3.3207434783197279E-2</v>
      </c>
      <c r="G24" s="15">
        <v>76322</v>
      </c>
      <c r="H24" s="41">
        <v>-3.4380650402243126E-2</v>
      </c>
      <c r="I24" s="17">
        <v>73698</v>
      </c>
    </row>
    <row r="25" spans="1:9">
      <c r="A25" s="8" t="s">
        <v>572</v>
      </c>
      <c r="B25" s="29" t="s">
        <v>573</v>
      </c>
      <c r="C25" s="15">
        <v>430761</v>
      </c>
      <c r="D25" s="16">
        <v>5.1720095366107888E-2</v>
      </c>
      <c r="E25" s="15">
        <v>453040</v>
      </c>
      <c r="F25" s="16">
        <v>-4.5327123432809466E-2</v>
      </c>
      <c r="G25" s="15">
        <v>432505</v>
      </c>
      <c r="H25" s="41">
        <v>2.1440214563993479E-2</v>
      </c>
      <c r="I25" s="17">
        <v>441778</v>
      </c>
    </row>
    <row r="26" spans="1:9">
      <c r="A26" s="56" t="s">
        <v>574</v>
      </c>
      <c r="B26" s="29" t="s">
        <v>575</v>
      </c>
      <c r="C26" s="15">
        <v>4</v>
      </c>
      <c r="D26" s="16">
        <v>1479.75</v>
      </c>
      <c r="E26" s="15">
        <v>5923</v>
      </c>
      <c r="F26" s="16">
        <v>1.1543136923856154</v>
      </c>
      <c r="G26" s="15">
        <v>12760</v>
      </c>
      <c r="H26" s="41">
        <v>1.7040752351097179</v>
      </c>
      <c r="I26" s="17">
        <v>34504</v>
      </c>
    </row>
    <row r="27" spans="1:9">
      <c r="A27" s="150">
        <v>489</v>
      </c>
      <c r="B27" s="29" t="s">
        <v>170</v>
      </c>
      <c r="C27" s="15">
        <v>0</v>
      </c>
      <c r="D27" s="16" t="s">
        <v>555</v>
      </c>
      <c r="E27" s="15">
        <v>0</v>
      </c>
      <c r="F27" s="16" t="s">
        <v>555</v>
      </c>
      <c r="G27" s="15">
        <v>0</v>
      </c>
      <c r="H27" s="41" t="s">
        <v>555</v>
      </c>
      <c r="I27" s="17">
        <v>0</v>
      </c>
    </row>
    <row r="28" spans="1:9">
      <c r="A28" s="30" t="s">
        <v>576</v>
      </c>
      <c r="B28" s="31" t="s">
        <v>577</v>
      </c>
      <c r="C28" s="20">
        <v>107786</v>
      </c>
      <c r="D28" s="16">
        <v>-2.4465143896238845E-2</v>
      </c>
      <c r="E28" s="20">
        <v>105149</v>
      </c>
      <c r="F28" s="16">
        <v>-5.9249255817934547E-2</v>
      </c>
      <c r="G28" s="20">
        <v>98919</v>
      </c>
      <c r="H28" s="41">
        <v>-0.15807883217582061</v>
      </c>
      <c r="I28" s="21">
        <v>83282</v>
      </c>
    </row>
    <row r="29" spans="1:9">
      <c r="A29" s="48" t="s">
        <v>578</v>
      </c>
      <c r="B29" s="49" t="s">
        <v>579</v>
      </c>
      <c r="C29" s="24">
        <v>1199189</v>
      </c>
      <c r="D29" s="50">
        <v>5.5604245869500135E-2</v>
      </c>
      <c r="E29" s="24">
        <v>1265869</v>
      </c>
      <c r="F29" s="50">
        <v>-6.4133808474652595E-2</v>
      </c>
      <c r="G29" s="24">
        <v>1184684</v>
      </c>
      <c r="H29" s="243">
        <v>0.12366166842803651</v>
      </c>
      <c r="I29" s="26">
        <v>1331184</v>
      </c>
    </row>
    <row r="30" spans="1:9">
      <c r="A30" s="47" t="s">
        <v>580</v>
      </c>
      <c r="B30" s="32" t="s">
        <v>581</v>
      </c>
      <c r="C30" s="33">
        <v>-140662</v>
      </c>
      <c r="D30" s="117">
        <v>0</v>
      </c>
      <c r="E30" s="33">
        <v>-96801</v>
      </c>
      <c r="F30" s="117">
        <v>0</v>
      </c>
      <c r="G30" s="34">
        <v>-211104</v>
      </c>
      <c r="H30" s="244">
        <v>0</v>
      </c>
      <c r="I30" s="35">
        <v>-65534</v>
      </c>
    </row>
    <row r="31" spans="1:9">
      <c r="A31" s="120">
        <v>0</v>
      </c>
      <c r="B31" s="28" t="s">
        <v>582</v>
      </c>
      <c r="C31" s="118">
        <v>0</v>
      </c>
      <c r="D31" s="123">
        <v>0</v>
      </c>
      <c r="E31" s="118">
        <v>0</v>
      </c>
      <c r="F31" s="123">
        <v>0</v>
      </c>
      <c r="G31" s="118">
        <v>0</v>
      </c>
      <c r="H31" s="245">
        <v>0</v>
      </c>
      <c r="I31" s="119">
        <v>0</v>
      </c>
    </row>
    <row r="32" spans="1:9">
      <c r="A32" s="56" t="s">
        <v>583</v>
      </c>
      <c r="B32" s="29" t="s">
        <v>584</v>
      </c>
      <c r="C32" s="15">
        <v>51471</v>
      </c>
      <c r="D32" s="16">
        <v>0.4839424141749723</v>
      </c>
      <c r="E32" s="15">
        <v>76380</v>
      </c>
      <c r="F32" s="16">
        <v>-9.0075936108929042E-2</v>
      </c>
      <c r="G32" s="15">
        <v>69500</v>
      </c>
      <c r="H32" s="41">
        <v>0.46215827338129495</v>
      </c>
      <c r="I32" s="17">
        <v>101620</v>
      </c>
    </row>
    <row r="33" spans="1:9">
      <c r="A33" s="56" t="s">
        <v>585</v>
      </c>
      <c r="B33" s="29" t="s">
        <v>586</v>
      </c>
      <c r="C33" s="15">
        <v>579</v>
      </c>
      <c r="D33" s="16">
        <v>-1</v>
      </c>
      <c r="E33" s="15">
        <v>0</v>
      </c>
      <c r="F33" s="16" t="s">
        <v>555</v>
      </c>
      <c r="G33" s="15">
        <v>515</v>
      </c>
      <c r="H33" s="41">
        <v>-1</v>
      </c>
      <c r="I33" s="17">
        <v>0</v>
      </c>
    </row>
    <row r="34" spans="1:9">
      <c r="A34" s="8" t="s">
        <v>587</v>
      </c>
      <c r="B34" s="29" t="s">
        <v>588</v>
      </c>
      <c r="C34" s="15">
        <v>35947</v>
      </c>
      <c r="D34" s="16">
        <v>0.28035719253345204</v>
      </c>
      <c r="E34" s="15">
        <v>46025</v>
      </c>
      <c r="F34" s="16">
        <v>-0.20115154807170016</v>
      </c>
      <c r="G34" s="15">
        <v>36767</v>
      </c>
      <c r="H34" s="41">
        <v>8.2818832104876658E-2</v>
      </c>
      <c r="I34" s="17">
        <v>39812</v>
      </c>
    </row>
    <row r="35" spans="1:9">
      <c r="A35" s="48" t="s">
        <v>589</v>
      </c>
      <c r="B35" s="49" t="s">
        <v>590</v>
      </c>
      <c r="C35" s="24">
        <v>87997</v>
      </c>
      <c r="D35" s="51">
        <v>0.39101332999988636</v>
      </c>
      <c r="E35" s="24">
        <v>122405</v>
      </c>
      <c r="F35" s="51">
        <v>-0.12763367509497162</v>
      </c>
      <c r="G35" s="24">
        <v>106782</v>
      </c>
      <c r="H35" s="243">
        <v>0.32449289206045961</v>
      </c>
      <c r="I35" s="26">
        <v>141432</v>
      </c>
    </row>
    <row r="36" spans="1:9">
      <c r="A36" s="8" t="s">
        <v>591</v>
      </c>
      <c r="B36" s="29" t="s">
        <v>592</v>
      </c>
      <c r="C36" s="15">
        <v>714</v>
      </c>
      <c r="D36" s="16">
        <v>-1</v>
      </c>
      <c r="E36" s="15">
        <v>0</v>
      </c>
      <c r="F36" s="16" t="s">
        <v>555</v>
      </c>
      <c r="G36" s="15">
        <v>105</v>
      </c>
      <c r="H36" s="41">
        <v>-1</v>
      </c>
      <c r="I36" s="17">
        <v>0</v>
      </c>
    </row>
    <row r="37" spans="1:9">
      <c r="A37" s="8" t="s">
        <v>593</v>
      </c>
      <c r="B37" s="29" t="s">
        <v>594</v>
      </c>
      <c r="C37" s="15">
        <v>34582</v>
      </c>
      <c r="D37" s="16">
        <v>0.20322711237059743</v>
      </c>
      <c r="E37" s="15">
        <v>41610</v>
      </c>
      <c r="F37" s="16">
        <v>-0.1833213169911079</v>
      </c>
      <c r="G37" s="15">
        <v>33982</v>
      </c>
      <c r="H37" s="41">
        <v>0.3612500735683597</v>
      </c>
      <c r="I37" s="17">
        <v>46258</v>
      </c>
    </row>
    <row r="38" spans="1:9">
      <c r="A38" s="48" t="s">
        <v>595</v>
      </c>
      <c r="B38" s="49" t="s">
        <v>596</v>
      </c>
      <c r="C38" s="24">
        <v>35296</v>
      </c>
      <c r="D38" s="51">
        <v>0.17888712601994561</v>
      </c>
      <c r="E38" s="24">
        <v>41610</v>
      </c>
      <c r="F38" s="51">
        <v>-0.18079788512376832</v>
      </c>
      <c r="G38" s="24">
        <v>34087</v>
      </c>
      <c r="H38" s="243">
        <v>0.35705694252941006</v>
      </c>
      <c r="I38" s="26">
        <v>46258</v>
      </c>
    </row>
    <row r="39" spans="1:9">
      <c r="A39" s="36" t="s">
        <v>597</v>
      </c>
      <c r="B39" s="37" t="s">
        <v>3</v>
      </c>
      <c r="C39" s="38">
        <v>52701</v>
      </c>
      <c r="D39" s="39">
        <v>0.53308286370277602</v>
      </c>
      <c r="E39" s="38">
        <v>80795</v>
      </c>
      <c r="F39" s="39">
        <v>-0.10025372857231264</v>
      </c>
      <c r="G39" s="38">
        <v>72695</v>
      </c>
      <c r="H39" s="246">
        <v>0.30922346791388677</v>
      </c>
      <c r="I39" s="40">
        <v>95174</v>
      </c>
    </row>
    <row r="40" spans="1:9">
      <c r="A40" s="112" t="s">
        <v>0</v>
      </c>
      <c r="B40" s="29" t="s">
        <v>85</v>
      </c>
      <c r="C40" s="15">
        <v>-63446</v>
      </c>
      <c r="D40" s="16">
        <v>-0.68767140560476625</v>
      </c>
      <c r="E40" s="15">
        <v>-19816</v>
      </c>
      <c r="F40" s="16">
        <v>5.8164109810254336</v>
      </c>
      <c r="G40" s="15">
        <v>-135074</v>
      </c>
      <c r="H40" s="41">
        <v>-1.0904541214445416</v>
      </c>
      <c r="I40" s="17">
        <v>12218</v>
      </c>
    </row>
    <row r="41" spans="1:9">
      <c r="A41" s="112" t="s">
        <v>0</v>
      </c>
      <c r="B41" s="29" t="s">
        <v>598</v>
      </c>
      <c r="C41" s="15">
        <v>-116147</v>
      </c>
      <c r="D41" s="16">
        <v>-0.13376152634161881</v>
      </c>
      <c r="E41" s="15">
        <v>-100611</v>
      </c>
      <c r="F41" s="16">
        <v>1.0650724075896274</v>
      </c>
      <c r="G41" s="15">
        <v>-207769</v>
      </c>
      <c r="H41" s="41">
        <v>-0.60072965649350962</v>
      </c>
      <c r="I41" s="17">
        <v>-82956</v>
      </c>
    </row>
    <row r="42" spans="1:9">
      <c r="A42" s="121" t="s">
        <v>0</v>
      </c>
      <c r="B42" s="31" t="s">
        <v>599</v>
      </c>
      <c r="C42" s="20">
        <v>1231865</v>
      </c>
      <c r="D42" s="111">
        <v>5.7048459043807558E-2</v>
      </c>
      <c r="E42" s="20">
        <v>1302141</v>
      </c>
      <c r="F42" s="111">
        <v>1.8825150271744764E-2</v>
      </c>
      <c r="G42" s="20">
        <v>1326654</v>
      </c>
      <c r="H42" s="247">
        <v>3.7456639033237003E-2</v>
      </c>
      <c r="I42" s="21">
        <v>1376346</v>
      </c>
    </row>
    <row r="43" spans="1:9">
      <c r="A43" s="121">
        <v>0</v>
      </c>
      <c r="B43" s="31" t="s">
        <v>5</v>
      </c>
      <c r="C43" s="60" t="s">
        <v>601</v>
      </c>
      <c r="D43" s="122">
        <v>0</v>
      </c>
      <c r="E43" s="60" t="s">
        <v>601</v>
      </c>
      <c r="F43" s="167">
        <v>0</v>
      </c>
      <c r="G43" s="60" t="s">
        <v>601</v>
      </c>
      <c r="H43" s="167">
        <v>0</v>
      </c>
      <c r="I43" s="168">
        <v>0.12837539664194003</v>
      </c>
    </row>
  </sheetData>
  <phoneticPr fontId="7" type="noConversion"/>
  <pageMargins left="0.23622047244094491" right="0.23622047244094491" top="0.74803149606299213" bottom="0.74803149606299213" header="0.31496062992125984" footer="0.31496062992125984"/>
  <pageSetup paperSize="9" orientation="landscape" r:id="rId1"/>
  <headerFooter alignWithMargins="0">
    <oddHeader>&amp;LFachgruppe für kantonale Finanzfragen (FkF)
Groupe d'études pour les finances cantonales
&amp;CKanton VD&amp;RZürich, 11.05.2015</oddHeader>
    <oddFooter>&amp;L&amp;F / 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15">
    <tabColor rgb="FF00B050"/>
  </sheetPr>
  <dimension ref="A1:AL186"/>
  <sheetViews>
    <sheetView zoomScale="115" zoomScaleNormal="115" workbookViewId="0">
      <selection activeCell="G10" sqref="G10"/>
    </sheetView>
  </sheetViews>
  <sheetFormatPr baseColWidth="10" defaultColWidth="11.42578125" defaultRowHeight="12.75"/>
  <cols>
    <col min="1" max="1" width="15.140625" style="470" customWidth="1"/>
    <col min="2" max="2" width="3.7109375" style="470" customWidth="1"/>
    <col min="3" max="3" width="44.7109375" style="470" customWidth="1"/>
    <col min="4" max="16384" width="11.42578125" style="470"/>
  </cols>
  <sheetData>
    <row r="1" spans="1:38" s="642" customFormat="1" ht="18" customHeight="1">
      <c r="A1" s="647" t="s">
        <v>258</v>
      </c>
      <c r="B1" s="671" t="s">
        <v>510</v>
      </c>
      <c r="C1" s="671" t="s">
        <v>509</v>
      </c>
      <c r="D1" s="643" t="s">
        <v>255</v>
      </c>
      <c r="E1" s="644" t="s">
        <v>254</v>
      </c>
      <c r="F1" s="643" t="s">
        <v>255</v>
      </c>
      <c r="G1" s="644" t="s">
        <v>254</v>
      </c>
      <c r="H1" s="608"/>
      <c r="I1" s="608"/>
      <c r="J1" s="608"/>
      <c r="K1" s="608"/>
      <c r="L1" s="608"/>
      <c r="M1" s="608"/>
      <c r="N1" s="608"/>
      <c r="O1" s="608"/>
      <c r="P1" s="608"/>
      <c r="Q1" s="608"/>
      <c r="R1" s="608"/>
      <c r="S1" s="608"/>
      <c r="T1" s="608"/>
      <c r="U1" s="608"/>
      <c r="V1" s="608"/>
      <c r="W1" s="608"/>
      <c r="X1" s="608"/>
      <c r="Y1" s="608"/>
      <c r="Z1" s="608"/>
      <c r="AA1" s="608"/>
      <c r="AB1" s="608"/>
      <c r="AC1" s="608"/>
      <c r="AD1" s="608"/>
      <c r="AE1" s="608"/>
      <c r="AF1" s="608"/>
      <c r="AG1" s="608"/>
      <c r="AH1" s="608"/>
      <c r="AI1" s="608"/>
      <c r="AJ1" s="608"/>
      <c r="AK1" s="608"/>
      <c r="AL1" s="608"/>
    </row>
    <row r="2" spans="1:38" s="636" customFormat="1" ht="15" customHeight="1">
      <c r="A2" s="641"/>
      <c r="B2" s="640"/>
      <c r="C2" s="639" t="s">
        <v>253</v>
      </c>
      <c r="D2" s="637">
        <v>2013</v>
      </c>
      <c r="E2" s="638">
        <v>2014</v>
      </c>
      <c r="F2" s="637">
        <v>2014</v>
      </c>
      <c r="G2" s="638">
        <v>2015</v>
      </c>
    </row>
    <row r="3" spans="1:38" ht="15" customHeight="1">
      <c r="A3" s="949" t="s">
        <v>252</v>
      </c>
      <c r="B3" s="950"/>
      <c r="C3" s="950"/>
      <c r="D3" s="512"/>
      <c r="E3" s="635" t="s">
        <v>251</v>
      </c>
      <c r="F3" s="516"/>
      <c r="G3" s="757" t="s">
        <v>508</v>
      </c>
    </row>
    <row r="4" spans="1:38" s="480" customFormat="1" ht="12.75" customHeight="1">
      <c r="A4" s="670">
        <v>30</v>
      </c>
      <c r="B4" s="669"/>
      <c r="C4" s="632" t="s">
        <v>250</v>
      </c>
      <c r="D4" s="411">
        <v>55044</v>
      </c>
      <c r="E4" s="453">
        <v>55479</v>
      </c>
      <c r="F4" s="411">
        <v>55500</v>
      </c>
      <c r="G4" s="453">
        <v>55866</v>
      </c>
    </row>
    <row r="5" spans="1:38" s="480" customFormat="1" ht="12.75" customHeight="1">
      <c r="A5" s="591">
        <v>31</v>
      </c>
      <c r="B5" s="587"/>
      <c r="C5" s="585" t="s">
        <v>249</v>
      </c>
      <c r="D5" s="317">
        <v>29416</v>
      </c>
      <c r="E5" s="361">
        <v>28715</v>
      </c>
      <c r="F5" s="317">
        <v>28430</v>
      </c>
      <c r="G5" s="361">
        <v>29009</v>
      </c>
    </row>
    <row r="6" spans="1:38" s="480" customFormat="1" ht="12.75" customHeight="1">
      <c r="A6" s="630" t="s">
        <v>248</v>
      </c>
      <c r="B6" s="586"/>
      <c r="C6" s="616" t="s">
        <v>247</v>
      </c>
      <c r="D6" s="322">
        <v>14024</v>
      </c>
      <c r="E6" s="321">
        <v>3270</v>
      </c>
      <c r="F6" s="322">
        <v>3465</v>
      </c>
      <c r="G6" s="361">
        <v>3289</v>
      </c>
    </row>
    <row r="7" spans="1:38" s="480" customFormat="1" ht="12.75" customHeight="1">
      <c r="A7" s="630" t="s">
        <v>246</v>
      </c>
      <c r="B7" s="586"/>
      <c r="C7" s="616" t="s">
        <v>245</v>
      </c>
      <c r="D7" s="322">
        <v>241</v>
      </c>
      <c r="E7" s="321">
        <v>0</v>
      </c>
      <c r="F7" s="322">
        <v>896</v>
      </c>
      <c r="G7" s="361">
        <v>499</v>
      </c>
    </row>
    <row r="8" spans="1:38" s="480" customFormat="1" ht="12.75" customHeight="1">
      <c r="A8" s="593">
        <v>330</v>
      </c>
      <c r="B8" s="587"/>
      <c r="C8" s="585" t="s">
        <v>244</v>
      </c>
      <c r="D8" s="317">
        <v>7113</v>
      </c>
      <c r="E8" s="316">
        <v>7070</v>
      </c>
      <c r="F8" s="317">
        <v>7555</v>
      </c>
      <c r="G8" s="361">
        <v>8533</v>
      </c>
    </row>
    <row r="9" spans="1:38" s="480" customFormat="1" ht="12.75" customHeight="1">
      <c r="A9" s="593">
        <v>332</v>
      </c>
      <c r="B9" s="587"/>
      <c r="C9" s="585" t="s">
        <v>243</v>
      </c>
      <c r="D9" s="317">
        <v>706</v>
      </c>
      <c r="E9" s="316">
        <v>615</v>
      </c>
      <c r="F9" s="317">
        <v>953</v>
      </c>
      <c r="G9" s="361">
        <v>677</v>
      </c>
    </row>
    <row r="10" spans="1:38" s="480" customFormat="1" ht="12.75" customHeight="1">
      <c r="A10" s="593">
        <v>339</v>
      </c>
      <c r="B10" s="587"/>
      <c r="C10" s="585" t="s">
        <v>242</v>
      </c>
      <c r="D10" s="317">
        <v>0</v>
      </c>
      <c r="E10" s="316">
        <v>0</v>
      </c>
      <c r="F10" s="317">
        <v>0</v>
      </c>
      <c r="G10" s="361">
        <v>0</v>
      </c>
    </row>
    <row r="11" spans="1:38" s="480" customFormat="1" ht="12.75" customHeight="1">
      <c r="A11" s="591">
        <v>350</v>
      </c>
      <c r="B11" s="587"/>
      <c r="C11" s="585" t="s">
        <v>241</v>
      </c>
      <c r="D11" s="317">
        <v>0</v>
      </c>
      <c r="E11" s="316">
        <v>8</v>
      </c>
      <c r="F11" s="317">
        <v>414</v>
      </c>
      <c r="G11" s="361">
        <v>0</v>
      </c>
    </row>
    <row r="12" spans="1:38" s="579" customFormat="1">
      <c r="A12" s="597">
        <v>351</v>
      </c>
      <c r="B12" s="596"/>
      <c r="C12" s="589" t="s">
        <v>240</v>
      </c>
      <c r="D12" s="450">
        <v>0</v>
      </c>
      <c r="E12" s="400">
        <v>10</v>
      </c>
      <c r="F12" s="450">
        <v>0</v>
      </c>
      <c r="G12" s="361">
        <v>1785</v>
      </c>
    </row>
    <row r="13" spans="1:38" s="480" customFormat="1" ht="12.75" customHeight="1">
      <c r="A13" s="591">
        <v>36</v>
      </c>
      <c r="B13" s="587"/>
      <c r="C13" s="585" t="s">
        <v>239</v>
      </c>
      <c r="D13" s="362">
        <v>140297</v>
      </c>
      <c r="E13" s="316">
        <v>147399</v>
      </c>
      <c r="F13" s="362">
        <v>143468</v>
      </c>
      <c r="G13" s="361">
        <v>148985</v>
      </c>
    </row>
    <row r="14" spans="1:38" s="480" customFormat="1" ht="12.75" customHeight="1">
      <c r="A14" s="629" t="s">
        <v>238</v>
      </c>
      <c r="B14" s="587"/>
      <c r="C14" s="627" t="s">
        <v>237</v>
      </c>
      <c r="D14" s="362">
        <v>35216</v>
      </c>
      <c r="E14" s="316">
        <v>36908</v>
      </c>
      <c r="F14" s="362">
        <v>0</v>
      </c>
      <c r="G14" s="361">
        <v>0</v>
      </c>
    </row>
    <row r="15" spans="1:38" s="480" customFormat="1" ht="12.75" customHeight="1">
      <c r="A15" s="629" t="s">
        <v>236</v>
      </c>
      <c r="B15" s="587"/>
      <c r="C15" s="627" t="s">
        <v>235</v>
      </c>
      <c r="D15" s="362">
        <v>20024</v>
      </c>
      <c r="E15" s="316">
        <v>19512</v>
      </c>
      <c r="F15" s="362">
        <v>0</v>
      </c>
      <c r="G15" s="361">
        <v>0</v>
      </c>
    </row>
    <row r="16" spans="1:38" s="626" customFormat="1" ht="26.25" customHeight="1">
      <c r="A16" s="629" t="s">
        <v>234</v>
      </c>
      <c r="B16" s="668"/>
      <c r="C16" s="627" t="s">
        <v>233</v>
      </c>
      <c r="D16" s="444">
        <v>7273</v>
      </c>
      <c r="E16" s="443">
        <v>7487</v>
      </c>
      <c r="F16" s="444">
        <v>7818</v>
      </c>
      <c r="G16" s="444">
        <v>8486</v>
      </c>
    </row>
    <row r="17" spans="1:7" s="622" customFormat="1">
      <c r="A17" s="591">
        <v>37</v>
      </c>
      <c r="B17" s="587"/>
      <c r="C17" s="585" t="s">
        <v>211</v>
      </c>
      <c r="D17" s="362">
        <v>38395</v>
      </c>
      <c r="E17" s="430">
        <v>38661</v>
      </c>
      <c r="F17" s="362">
        <v>39289</v>
      </c>
      <c r="G17" s="361">
        <v>40293</v>
      </c>
    </row>
    <row r="18" spans="1:7" s="622" customFormat="1">
      <c r="A18" s="617" t="s">
        <v>232</v>
      </c>
      <c r="B18" s="586"/>
      <c r="C18" s="616" t="s">
        <v>231</v>
      </c>
      <c r="D18" s="362">
        <v>885</v>
      </c>
      <c r="E18" s="430">
        <v>769</v>
      </c>
      <c r="F18" s="362">
        <v>0</v>
      </c>
      <c r="G18" s="361">
        <v>0</v>
      </c>
    </row>
    <row r="19" spans="1:7" s="622" customFormat="1">
      <c r="A19" s="617" t="s">
        <v>230</v>
      </c>
      <c r="B19" s="586"/>
      <c r="C19" s="616" t="s">
        <v>229</v>
      </c>
      <c r="D19" s="362">
        <v>1115</v>
      </c>
      <c r="E19" s="430">
        <v>586</v>
      </c>
      <c r="F19" s="362">
        <v>0</v>
      </c>
      <c r="G19" s="361">
        <v>0</v>
      </c>
    </row>
    <row r="20" spans="1:7" s="480" customFormat="1" ht="12.75" customHeight="1">
      <c r="A20" s="615">
        <v>39</v>
      </c>
      <c r="B20" s="614"/>
      <c r="C20" s="583" t="s">
        <v>228</v>
      </c>
      <c r="D20" s="355">
        <v>22395</v>
      </c>
      <c r="E20" s="372">
        <v>22630</v>
      </c>
      <c r="F20" s="355">
        <v>22507</v>
      </c>
      <c r="G20" s="354">
        <v>22283</v>
      </c>
    </row>
    <row r="21" spans="1:7" ht="12.75" customHeight="1">
      <c r="A21" s="578"/>
      <c r="B21" s="578"/>
      <c r="C21" s="576" t="s">
        <v>227</v>
      </c>
      <c r="D21" s="380">
        <f>D4+D5+SUM(D8:D13)+D17</f>
        <v>270971</v>
      </c>
      <c r="E21" s="380">
        <f>E4+E5+SUM(E8:E13)+E17</f>
        <v>277957</v>
      </c>
      <c r="F21" s="380">
        <f>F4+F5+SUM(F8:F13)+F17</f>
        <v>275609</v>
      </c>
      <c r="G21" s="380">
        <f>G4+G5+SUM(G8:G13)+G17</f>
        <v>285148</v>
      </c>
    </row>
    <row r="22" spans="1:7" s="480" customFormat="1" ht="12.75" customHeight="1">
      <c r="A22" s="593" t="s">
        <v>226</v>
      </c>
      <c r="B22" s="587"/>
      <c r="C22" s="585" t="s">
        <v>225</v>
      </c>
      <c r="D22" s="318">
        <v>76232</v>
      </c>
      <c r="E22" s="369">
        <v>75300</v>
      </c>
      <c r="F22" s="317">
        <v>71257</v>
      </c>
      <c r="G22" s="316">
        <f>67775+9650</f>
        <v>77425</v>
      </c>
    </row>
    <row r="23" spans="1:7" s="480" customFormat="1" ht="12.75" customHeight="1">
      <c r="A23" s="593" t="s">
        <v>224</v>
      </c>
      <c r="B23" s="587"/>
      <c r="C23" s="585" t="s">
        <v>223</v>
      </c>
      <c r="D23" s="318">
        <v>16489</v>
      </c>
      <c r="E23" s="369">
        <v>15870</v>
      </c>
      <c r="F23" s="317">
        <v>16674</v>
      </c>
      <c r="G23" s="316">
        <v>16880</v>
      </c>
    </row>
    <row r="24" spans="1:7" s="621" customFormat="1" ht="12.75" customHeight="1">
      <c r="A24" s="591">
        <v>41</v>
      </c>
      <c r="B24" s="587"/>
      <c r="C24" s="585" t="s">
        <v>222</v>
      </c>
      <c r="D24" s="318">
        <v>7408</v>
      </c>
      <c r="E24" s="369">
        <v>7470</v>
      </c>
      <c r="F24" s="317">
        <v>4431</v>
      </c>
      <c r="G24" s="316">
        <v>4622</v>
      </c>
    </row>
    <row r="25" spans="1:7" s="480" customFormat="1" ht="12.75" customHeight="1">
      <c r="A25" s="620">
        <v>42</v>
      </c>
      <c r="B25" s="619"/>
      <c r="C25" s="585" t="s">
        <v>221</v>
      </c>
      <c r="D25" s="318">
        <v>18216</v>
      </c>
      <c r="E25" s="369">
        <v>17279</v>
      </c>
      <c r="F25" s="317">
        <v>18083</v>
      </c>
      <c r="G25" s="316">
        <v>18428</v>
      </c>
    </row>
    <row r="26" spans="1:7" s="618" customFormat="1" ht="12.75" customHeight="1">
      <c r="A26" s="597">
        <v>430</v>
      </c>
      <c r="B26" s="587"/>
      <c r="C26" s="585" t="s">
        <v>220</v>
      </c>
      <c r="D26" s="433">
        <v>1230</v>
      </c>
      <c r="E26" s="432">
        <v>1398</v>
      </c>
      <c r="F26" s="431">
        <v>1055</v>
      </c>
      <c r="G26" s="430">
        <v>1418</v>
      </c>
    </row>
    <row r="27" spans="1:7" s="618" customFormat="1" ht="12.75" customHeight="1">
      <c r="A27" s="597">
        <v>431</v>
      </c>
      <c r="B27" s="587"/>
      <c r="C27" s="585" t="s">
        <v>219</v>
      </c>
      <c r="D27" s="433">
        <v>1217</v>
      </c>
      <c r="E27" s="432">
        <v>1189</v>
      </c>
      <c r="F27" s="431">
        <v>870</v>
      </c>
      <c r="G27" s="430">
        <v>737</v>
      </c>
    </row>
    <row r="28" spans="1:7" s="618" customFormat="1" ht="12.75" customHeight="1">
      <c r="A28" s="597">
        <v>432</v>
      </c>
      <c r="B28" s="587"/>
      <c r="C28" s="585" t="s">
        <v>218</v>
      </c>
      <c r="D28" s="433">
        <v>0</v>
      </c>
      <c r="E28" s="432">
        <v>0</v>
      </c>
      <c r="F28" s="431">
        <v>0</v>
      </c>
      <c r="G28" s="430">
        <v>0</v>
      </c>
    </row>
    <row r="29" spans="1:7" s="618" customFormat="1" ht="12.75" customHeight="1">
      <c r="A29" s="597">
        <v>439</v>
      </c>
      <c r="B29" s="587"/>
      <c r="C29" s="585" t="s">
        <v>217</v>
      </c>
      <c r="D29" s="433">
        <v>1191</v>
      </c>
      <c r="E29" s="432">
        <v>1143</v>
      </c>
      <c r="F29" s="431">
        <v>1651</v>
      </c>
      <c r="G29" s="430">
        <v>1182</v>
      </c>
    </row>
    <row r="30" spans="1:7" s="480" customFormat="1" ht="25.5">
      <c r="A30" s="597">
        <v>450</v>
      </c>
      <c r="B30" s="596"/>
      <c r="C30" s="589" t="s">
        <v>216</v>
      </c>
      <c r="D30" s="362">
        <v>474</v>
      </c>
      <c r="E30" s="361">
        <v>352</v>
      </c>
      <c r="F30" s="362">
        <v>8</v>
      </c>
      <c r="G30" s="361">
        <v>366</v>
      </c>
    </row>
    <row r="31" spans="1:7" s="579" customFormat="1" ht="25.5">
      <c r="A31" s="597">
        <v>451</v>
      </c>
      <c r="B31" s="596"/>
      <c r="C31" s="589" t="s">
        <v>215</v>
      </c>
      <c r="D31" s="312">
        <v>62</v>
      </c>
      <c r="E31" s="369">
        <v>3</v>
      </c>
      <c r="F31" s="311">
        <v>48</v>
      </c>
      <c r="G31" s="316">
        <v>2</v>
      </c>
    </row>
    <row r="32" spans="1:7" s="480" customFormat="1" ht="12.75" customHeight="1">
      <c r="A32" s="591">
        <v>46</v>
      </c>
      <c r="B32" s="587"/>
      <c r="C32" s="585" t="s">
        <v>214</v>
      </c>
      <c r="D32" s="318">
        <v>86184</v>
      </c>
      <c r="E32" s="369">
        <v>86602</v>
      </c>
      <c r="F32" s="317">
        <v>87620</v>
      </c>
      <c r="G32" s="316">
        <v>86068</v>
      </c>
    </row>
    <row r="33" spans="1:7" s="579" customFormat="1" ht="12.75" customHeight="1">
      <c r="A33" s="617" t="s">
        <v>213</v>
      </c>
      <c r="B33" s="586"/>
      <c r="C33" s="616" t="s">
        <v>212</v>
      </c>
      <c r="D33" s="318">
        <v>0</v>
      </c>
      <c r="E33" s="425">
        <v>0</v>
      </c>
      <c r="F33" s="317">
        <v>0</v>
      </c>
      <c r="G33" s="321">
        <v>0</v>
      </c>
    </row>
    <row r="34" spans="1:7" s="480" customFormat="1" ht="15" customHeight="1">
      <c r="A34" s="591">
        <v>47</v>
      </c>
      <c r="B34" s="587"/>
      <c r="C34" s="585" t="s">
        <v>211</v>
      </c>
      <c r="D34" s="318">
        <v>38395</v>
      </c>
      <c r="E34" s="369">
        <v>38661</v>
      </c>
      <c r="F34" s="317">
        <v>39288</v>
      </c>
      <c r="G34" s="316">
        <v>40293</v>
      </c>
    </row>
    <row r="35" spans="1:7" s="480" customFormat="1" ht="15" customHeight="1">
      <c r="A35" s="615">
        <v>49</v>
      </c>
      <c r="B35" s="614"/>
      <c r="C35" s="583" t="s">
        <v>210</v>
      </c>
      <c r="D35" s="357">
        <v>22395</v>
      </c>
      <c r="E35" s="356">
        <v>22630</v>
      </c>
      <c r="F35" s="355">
        <v>22506</v>
      </c>
      <c r="G35" s="354">
        <v>22283</v>
      </c>
    </row>
    <row r="36" spans="1:7" ht="13.5" customHeight="1">
      <c r="A36" s="578"/>
      <c r="B36" s="606"/>
      <c r="C36" s="576" t="s">
        <v>209</v>
      </c>
      <c r="D36" s="380">
        <f>D22+D23+D24+D25+D26+D27+D28+D29+D30+D31+D32+D34</f>
        <v>247098</v>
      </c>
      <c r="E36" s="380">
        <f>E22+E23+E24+E25+E26+E27+E28+E29+E30+E31+E32+E34</f>
        <v>245267</v>
      </c>
      <c r="F36" s="380">
        <f>F22+F23+F24+F25+F26+F27+F28+F29+F30+F31+F32+F34</f>
        <v>240985</v>
      </c>
      <c r="G36" s="380">
        <f>G22+G23+G24+G25+G26+G27+G28+G29+G30+G31+G32+G34</f>
        <v>247421</v>
      </c>
    </row>
    <row r="37" spans="1:7" s="667" customFormat="1" ht="15" customHeight="1">
      <c r="A37" s="578"/>
      <c r="B37" s="606"/>
      <c r="C37" s="576" t="s">
        <v>208</v>
      </c>
      <c r="D37" s="380">
        <f>D36-D21</f>
        <v>-23873</v>
      </c>
      <c r="E37" s="380">
        <f>E36-E21</f>
        <v>-32690</v>
      </c>
      <c r="F37" s="380">
        <f>F36-F21</f>
        <v>-34624</v>
      </c>
      <c r="G37" s="380">
        <f>G36-G21</f>
        <v>-37727</v>
      </c>
    </row>
    <row r="38" spans="1:7" s="579" customFormat="1" ht="15" customHeight="1">
      <c r="A38" s="593">
        <v>340</v>
      </c>
      <c r="B38" s="587"/>
      <c r="C38" s="585" t="s">
        <v>207</v>
      </c>
      <c r="D38" s="364">
        <v>643</v>
      </c>
      <c r="E38" s="369">
        <v>436</v>
      </c>
      <c r="F38" s="362">
        <v>600</v>
      </c>
      <c r="G38" s="316">
        <v>519</v>
      </c>
    </row>
    <row r="39" spans="1:7" s="579" customFormat="1" ht="15" customHeight="1">
      <c r="A39" s="593">
        <v>341</v>
      </c>
      <c r="B39" s="587"/>
      <c r="C39" s="585" t="s">
        <v>206</v>
      </c>
      <c r="D39" s="318">
        <v>0</v>
      </c>
      <c r="E39" s="369">
        <v>0</v>
      </c>
      <c r="F39" s="317">
        <v>0</v>
      </c>
      <c r="G39" s="316">
        <v>0</v>
      </c>
    </row>
    <row r="40" spans="1:7" s="579" customFormat="1" ht="15" customHeight="1">
      <c r="A40" s="593">
        <v>342</v>
      </c>
      <c r="B40" s="587"/>
      <c r="C40" s="585" t="s">
        <v>205</v>
      </c>
      <c r="D40" s="318">
        <v>0</v>
      </c>
      <c r="E40" s="369">
        <v>0</v>
      </c>
      <c r="F40" s="317">
        <v>0</v>
      </c>
      <c r="G40" s="316">
        <v>0</v>
      </c>
    </row>
    <row r="41" spans="1:7" s="579" customFormat="1" ht="15" customHeight="1">
      <c r="A41" s="593">
        <v>343</v>
      </c>
      <c r="B41" s="587"/>
      <c r="C41" s="585" t="s">
        <v>204</v>
      </c>
      <c r="D41" s="318">
        <v>0</v>
      </c>
      <c r="E41" s="369">
        <v>0</v>
      </c>
      <c r="F41" s="317">
        <v>0</v>
      </c>
      <c r="G41" s="316">
        <v>0</v>
      </c>
    </row>
    <row r="42" spans="1:7" s="579" customFormat="1" ht="15" customHeight="1">
      <c r="A42" s="593">
        <v>344</v>
      </c>
      <c r="B42" s="587"/>
      <c r="C42" s="585" t="s">
        <v>198</v>
      </c>
      <c r="D42" s="318">
        <v>0</v>
      </c>
      <c r="E42" s="369">
        <v>0</v>
      </c>
      <c r="F42" s="317">
        <v>0</v>
      </c>
      <c r="G42" s="316">
        <v>0</v>
      </c>
    </row>
    <row r="43" spans="1:7" s="579" customFormat="1" ht="15" customHeight="1">
      <c r="A43" s="593">
        <v>349</v>
      </c>
      <c r="B43" s="587"/>
      <c r="C43" s="585" t="s">
        <v>203</v>
      </c>
      <c r="D43" s="318">
        <v>0</v>
      </c>
      <c r="E43" s="369">
        <v>0</v>
      </c>
      <c r="F43" s="317">
        <v>0</v>
      </c>
      <c r="G43" s="316">
        <v>0</v>
      </c>
    </row>
    <row r="44" spans="1:7" s="480" customFormat="1" ht="15" customHeight="1">
      <c r="A44" s="591">
        <v>440</v>
      </c>
      <c r="B44" s="587"/>
      <c r="C44" s="585" t="s">
        <v>202</v>
      </c>
      <c r="D44" s="364">
        <v>2027</v>
      </c>
      <c r="E44" s="369">
        <v>1588</v>
      </c>
      <c r="F44" s="362">
        <v>1584</v>
      </c>
      <c r="G44" s="316">
        <v>1371</v>
      </c>
    </row>
    <row r="45" spans="1:7" s="480" customFormat="1" ht="15" customHeight="1">
      <c r="A45" s="591">
        <v>441</v>
      </c>
      <c r="B45" s="587"/>
      <c r="C45" s="585" t="s">
        <v>201</v>
      </c>
      <c r="D45" s="364">
        <v>18</v>
      </c>
      <c r="E45" s="369">
        <v>0</v>
      </c>
      <c r="F45" s="362">
        <v>111</v>
      </c>
      <c r="G45" s="316">
        <v>0</v>
      </c>
    </row>
    <row r="46" spans="1:7" s="480" customFormat="1" ht="15" customHeight="1">
      <c r="A46" s="591">
        <v>442</v>
      </c>
      <c r="B46" s="587"/>
      <c r="C46" s="585" t="s">
        <v>200</v>
      </c>
      <c r="D46" s="364">
        <v>0</v>
      </c>
      <c r="E46" s="369">
        <v>0</v>
      </c>
      <c r="F46" s="362">
        <v>0</v>
      </c>
      <c r="G46" s="316">
        <v>0</v>
      </c>
    </row>
    <row r="47" spans="1:7" s="480" customFormat="1" ht="15" customHeight="1">
      <c r="A47" s="591">
        <v>443</v>
      </c>
      <c r="B47" s="587"/>
      <c r="C47" s="585" t="s">
        <v>199</v>
      </c>
      <c r="D47" s="364">
        <v>0</v>
      </c>
      <c r="E47" s="369">
        <v>0</v>
      </c>
      <c r="F47" s="362">
        <v>0</v>
      </c>
      <c r="G47" s="316">
        <v>0</v>
      </c>
    </row>
    <row r="48" spans="1:7" s="480" customFormat="1" ht="15" customHeight="1">
      <c r="A48" s="591">
        <v>444</v>
      </c>
      <c r="B48" s="587"/>
      <c r="C48" s="585" t="s">
        <v>198</v>
      </c>
      <c r="D48" s="364">
        <v>44</v>
      </c>
      <c r="E48" s="369">
        <v>0</v>
      </c>
      <c r="F48" s="362">
        <v>1</v>
      </c>
      <c r="G48" s="316">
        <v>0</v>
      </c>
    </row>
    <row r="49" spans="1:7" s="480" customFormat="1" ht="15" customHeight="1">
      <c r="A49" s="591">
        <v>445</v>
      </c>
      <c r="B49" s="587"/>
      <c r="C49" s="585" t="s">
        <v>197</v>
      </c>
      <c r="D49" s="364">
        <v>789</v>
      </c>
      <c r="E49" s="369">
        <v>213</v>
      </c>
      <c r="F49" s="362">
        <v>289</v>
      </c>
      <c r="G49" s="316">
        <v>223</v>
      </c>
    </row>
    <row r="50" spans="1:7" s="480" customFormat="1" ht="15" customHeight="1">
      <c r="A50" s="591">
        <v>446</v>
      </c>
      <c r="B50" s="587"/>
      <c r="C50" s="585" t="s">
        <v>196</v>
      </c>
      <c r="D50" s="364">
        <v>10665</v>
      </c>
      <c r="E50" s="369">
        <v>11165</v>
      </c>
      <c r="F50" s="362">
        <v>11165</v>
      </c>
      <c r="G50" s="316">
        <v>11165</v>
      </c>
    </row>
    <row r="51" spans="1:7" s="480" customFormat="1" ht="15" customHeight="1">
      <c r="A51" s="591">
        <v>447</v>
      </c>
      <c r="B51" s="587"/>
      <c r="C51" s="585" t="s">
        <v>195</v>
      </c>
      <c r="D51" s="364">
        <v>5895</v>
      </c>
      <c r="E51" s="369">
        <v>7096</v>
      </c>
      <c r="F51" s="362">
        <v>7002</v>
      </c>
      <c r="G51" s="316">
        <v>7244</v>
      </c>
    </row>
    <row r="52" spans="1:7" s="480" customFormat="1" ht="15" customHeight="1">
      <c r="A52" s="591">
        <v>448</v>
      </c>
      <c r="B52" s="587"/>
      <c r="C52" s="585" t="s">
        <v>194</v>
      </c>
      <c r="D52" s="364">
        <v>0</v>
      </c>
      <c r="E52" s="369">
        <v>0</v>
      </c>
      <c r="F52" s="362">
        <v>0</v>
      </c>
      <c r="G52" s="316">
        <v>0</v>
      </c>
    </row>
    <row r="53" spans="1:7" s="480" customFormat="1" ht="15" customHeight="1">
      <c r="A53" s="591">
        <v>449</v>
      </c>
      <c r="B53" s="587"/>
      <c r="C53" s="585" t="s">
        <v>193</v>
      </c>
      <c r="D53" s="364">
        <v>0</v>
      </c>
      <c r="E53" s="369">
        <v>0</v>
      </c>
      <c r="F53" s="362">
        <v>322</v>
      </c>
      <c r="G53" s="316">
        <v>0</v>
      </c>
    </row>
    <row r="54" spans="1:7" s="579" customFormat="1" ht="13.5" customHeight="1">
      <c r="A54" s="607" t="s">
        <v>192</v>
      </c>
      <c r="B54" s="580"/>
      <c r="C54" s="580" t="s">
        <v>191</v>
      </c>
      <c r="D54" s="419">
        <v>0</v>
      </c>
      <c r="E54" s="417">
        <v>0</v>
      </c>
      <c r="F54" s="418">
        <v>0</v>
      </c>
      <c r="G54" s="299">
        <v>0</v>
      </c>
    </row>
    <row r="55" spans="1:7" ht="15" customHeight="1">
      <c r="A55" s="606"/>
      <c r="B55" s="606"/>
      <c r="C55" s="576" t="s">
        <v>55</v>
      </c>
      <c r="D55" s="380">
        <f>SUM(D44:D53)-SUM(D38:D43)</f>
        <v>18795</v>
      </c>
      <c r="E55" s="380">
        <f>SUM(E44:E53)-SUM(E38:E43)</f>
        <v>19626</v>
      </c>
      <c r="F55" s="380">
        <f>SUM(F44:F53)-SUM(F38:F43)</f>
        <v>19874</v>
      </c>
      <c r="G55" s="380">
        <f>SUM(G44:G53)-SUM(G38:G43)</f>
        <v>19484</v>
      </c>
    </row>
    <row r="56" spans="1:7" ht="14.25" customHeight="1">
      <c r="A56" s="606"/>
      <c r="B56" s="606"/>
      <c r="C56" s="576" t="s">
        <v>190</v>
      </c>
      <c r="D56" s="380">
        <f>D55+D37</f>
        <v>-5078</v>
      </c>
      <c r="E56" s="380">
        <f>E55+E37</f>
        <v>-13064</v>
      </c>
      <c r="F56" s="380">
        <f>F55+F37</f>
        <v>-14750</v>
      </c>
      <c r="G56" s="380">
        <f>G55+G37</f>
        <v>-18243</v>
      </c>
    </row>
    <row r="57" spans="1:7" s="480" customFormat="1" ht="15.75" customHeight="1">
      <c r="A57" s="605">
        <v>380</v>
      </c>
      <c r="B57" s="604"/>
      <c r="C57" s="603" t="s">
        <v>189</v>
      </c>
      <c r="D57" s="569">
        <v>0</v>
      </c>
      <c r="E57" s="737">
        <v>0</v>
      </c>
      <c r="F57" s="602">
        <v>0</v>
      </c>
      <c r="G57" s="601">
        <v>0</v>
      </c>
    </row>
    <row r="58" spans="1:7" s="480" customFormat="1" ht="15.75" customHeight="1">
      <c r="A58" s="605">
        <v>381</v>
      </c>
      <c r="B58" s="604"/>
      <c r="C58" s="603" t="s">
        <v>188</v>
      </c>
      <c r="D58" s="569">
        <v>0</v>
      </c>
      <c r="E58" s="737">
        <v>0</v>
      </c>
      <c r="F58" s="602">
        <v>0</v>
      </c>
      <c r="G58" s="601">
        <v>0</v>
      </c>
    </row>
    <row r="59" spans="1:7" s="579" customFormat="1" ht="25.5">
      <c r="A59" s="597">
        <v>383</v>
      </c>
      <c r="B59" s="596"/>
      <c r="C59" s="589" t="s">
        <v>187</v>
      </c>
      <c r="D59" s="410">
        <v>0</v>
      </c>
      <c r="E59" s="394">
        <v>0</v>
      </c>
      <c r="F59" s="409">
        <v>0</v>
      </c>
      <c r="G59" s="342">
        <v>0</v>
      </c>
    </row>
    <row r="60" spans="1:7" s="579" customFormat="1">
      <c r="A60" s="597">
        <v>3840</v>
      </c>
      <c r="B60" s="596"/>
      <c r="C60" s="589" t="s">
        <v>186</v>
      </c>
      <c r="D60" s="403">
        <v>0</v>
      </c>
      <c r="E60" s="402">
        <v>0</v>
      </c>
      <c r="F60" s="401">
        <v>0</v>
      </c>
      <c r="G60" s="400">
        <v>0</v>
      </c>
    </row>
    <row r="61" spans="1:7" s="579" customFormat="1">
      <c r="A61" s="597">
        <v>3841</v>
      </c>
      <c r="B61" s="596"/>
      <c r="C61" s="589" t="s">
        <v>185</v>
      </c>
      <c r="D61" s="403">
        <v>0</v>
      </c>
      <c r="E61" s="402">
        <v>0</v>
      </c>
      <c r="F61" s="401">
        <v>0</v>
      </c>
      <c r="G61" s="400">
        <v>0</v>
      </c>
    </row>
    <row r="62" spans="1:7" s="579" customFormat="1">
      <c r="A62" s="600">
        <v>386</v>
      </c>
      <c r="B62" s="599"/>
      <c r="C62" s="598" t="s">
        <v>184</v>
      </c>
      <c r="D62" s="403">
        <v>0</v>
      </c>
      <c r="E62" s="402">
        <v>0</v>
      </c>
      <c r="F62" s="401">
        <v>0</v>
      </c>
      <c r="G62" s="400">
        <v>0</v>
      </c>
    </row>
    <row r="63" spans="1:7" s="579" customFormat="1" ht="25.5">
      <c r="A63" s="597">
        <v>387</v>
      </c>
      <c r="B63" s="596"/>
      <c r="C63" s="589" t="s">
        <v>183</v>
      </c>
      <c r="D63" s="403">
        <v>0</v>
      </c>
      <c r="E63" s="402">
        <v>0</v>
      </c>
      <c r="F63" s="401">
        <v>0</v>
      </c>
      <c r="G63" s="400">
        <v>0</v>
      </c>
    </row>
    <row r="64" spans="1:7" s="579" customFormat="1">
      <c r="A64" s="617">
        <v>389</v>
      </c>
      <c r="B64" s="733"/>
      <c r="C64" s="616" t="s">
        <v>182</v>
      </c>
      <c r="D64" s="323">
        <v>0</v>
      </c>
      <c r="E64" s="425">
        <v>0</v>
      </c>
      <c r="F64" s="322">
        <v>0</v>
      </c>
      <c r="G64" s="321">
        <v>0</v>
      </c>
    </row>
    <row r="65" spans="1:7" s="480" customFormat="1">
      <c r="A65" s="593" t="s">
        <v>181</v>
      </c>
      <c r="B65" s="587"/>
      <c r="C65" s="585" t="s">
        <v>180</v>
      </c>
      <c r="D65" s="318">
        <v>0</v>
      </c>
      <c r="E65" s="369">
        <v>0</v>
      </c>
      <c r="F65" s="317">
        <v>0</v>
      </c>
      <c r="G65" s="316">
        <v>0</v>
      </c>
    </row>
    <row r="66" spans="1:7" s="588" customFormat="1">
      <c r="A66" s="666" t="s">
        <v>179</v>
      </c>
      <c r="B66" s="590"/>
      <c r="C66" s="589" t="s">
        <v>178</v>
      </c>
      <c r="D66" s="344">
        <v>0</v>
      </c>
      <c r="E66" s="394">
        <v>0</v>
      </c>
      <c r="F66" s="343">
        <v>0</v>
      </c>
      <c r="G66" s="342">
        <v>0</v>
      </c>
    </row>
    <row r="67" spans="1:7" s="480" customFormat="1">
      <c r="A67" s="584">
        <v>481</v>
      </c>
      <c r="B67" s="587"/>
      <c r="C67" s="585" t="s">
        <v>177</v>
      </c>
      <c r="D67" s="318">
        <v>0</v>
      </c>
      <c r="E67" s="369">
        <v>0</v>
      </c>
      <c r="F67" s="317">
        <v>0</v>
      </c>
      <c r="G67" s="316">
        <v>0</v>
      </c>
    </row>
    <row r="68" spans="1:7" s="480" customFormat="1">
      <c r="A68" s="584">
        <v>482</v>
      </c>
      <c r="B68" s="587"/>
      <c r="C68" s="585" t="s">
        <v>176</v>
      </c>
      <c r="D68" s="318">
        <v>0</v>
      </c>
      <c r="E68" s="369">
        <v>0</v>
      </c>
      <c r="F68" s="317">
        <v>0</v>
      </c>
      <c r="G68" s="316">
        <v>0</v>
      </c>
    </row>
    <row r="69" spans="1:7" s="480" customFormat="1">
      <c r="A69" s="584">
        <v>483</v>
      </c>
      <c r="B69" s="587"/>
      <c r="C69" s="585" t="s">
        <v>175</v>
      </c>
      <c r="D69" s="318">
        <v>0</v>
      </c>
      <c r="E69" s="369">
        <v>0</v>
      </c>
      <c r="F69" s="317">
        <v>0</v>
      </c>
      <c r="G69" s="316">
        <v>0</v>
      </c>
    </row>
    <row r="70" spans="1:7" s="480" customFormat="1">
      <c r="A70" s="584">
        <v>484</v>
      </c>
      <c r="B70" s="587"/>
      <c r="C70" s="585" t="s">
        <v>174</v>
      </c>
      <c r="D70" s="318">
        <v>0</v>
      </c>
      <c r="E70" s="369">
        <v>0</v>
      </c>
      <c r="F70" s="317">
        <v>0</v>
      </c>
      <c r="G70" s="316">
        <v>0</v>
      </c>
    </row>
    <row r="71" spans="1:7" s="480" customFormat="1">
      <c r="A71" s="584">
        <v>485</v>
      </c>
      <c r="B71" s="587"/>
      <c r="C71" s="585" t="s">
        <v>173</v>
      </c>
      <c r="D71" s="318">
        <v>0</v>
      </c>
      <c r="E71" s="369">
        <v>0</v>
      </c>
      <c r="F71" s="317">
        <v>0</v>
      </c>
      <c r="G71" s="316">
        <v>0</v>
      </c>
    </row>
    <row r="72" spans="1:7" s="480" customFormat="1">
      <c r="A72" s="584">
        <v>486</v>
      </c>
      <c r="B72" s="587"/>
      <c r="C72" s="585" t="s">
        <v>172</v>
      </c>
      <c r="D72" s="318">
        <v>0</v>
      </c>
      <c r="E72" s="369">
        <v>0</v>
      </c>
      <c r="F72" s="317">
        <v>0</v>
      </c>
      <c r="G72" s="316">
        <v>0</v>
      </c>
    </row>
    <row r="73" spans="1:7" s="579" customFormat="1">
      <c r="A73" s="584">
        <v>487</v>
      </c>
      <c r="B73" s="586"/>
      <c r="C73" s="616" t="s">
        <v>171</v>
      </c>
      <c r="D73" s="426">
        <v>0</v>
      </c>
      <c r="E73" s="425">
        <v>0</v>
      </c>
      <c r="F73" s="439">
        <v>0</v>
      </c>
      <c r="G73" s="321">
        <v>0</v>
      </c>
    </row>
    <row r="74" spans="1:7" s="579" customFormat="1">
      <c r="A74" s="584">
        <v>489</v>
      </c>
      <c r="B74" s="581"/>
      <c r="C74" s="583" t="s">
        <v>170</v>
      </c>
      <c r="D74" s="364">
        <v>3000</v>
      </c>
      <c r="E74" s="369">
        <v>11000</v>
      </c>
      <c r="F74" s="362">
        <v>11000</v>
      </c>
      <c r="G74" s="321">
        <v>10300</v>
      </c>
    </row>
    <row r="75" spans="1:7" s="579" customFormat="1">
      <c r="A75" s="582" t="s">
        <v>169</v>
      </c>
      <c r="B75" s="581"/>
      <c r="C75" s="583" t="s">
        <v>168</v>
      </c>
      <c r="D75" s="318">
        <v>0</v>
      </c>
      <c r="E75" s="369">
        <v>0</v>
      </c>
      <c r="F75" s="317">
        <v>0</v>
      </c>
      <c r="G75" s="316">
        <v>0</v>
      </c>
    </row>
    <row r="76" spans="1:7">
      <c r="A76" s="578"/>
      <c r="B76" s="578"/>
      <c r="C76" s="576" t="s">
        <v>167</v>
      </c>
      <c r="D76" s="380">
        <f>SUM(D65:D74)-SUM(D57:D64)</f>
        <v>3000</v>
      </c>
      <c r="E76" s="380">
        <f>SUM(E65:E74)-SUM(E57:E64)</f>
        <v>11000</v>
      </c>
      <c r="F76" s="380">
        <f>SUM(F65:F74)-SUM(F57:F64)</f>
        <v>11000</v>
      </c>
      <c r="G76" s="380">
        <f>SUM(G65:G74)-SUM(G57:G64)</f>
        <v>10300</v>
      </c>
    </row>
    <row r="77" spans="1:7">
      <c r="A77" s="577"/>
      <c r="B77" s="577"/>
      <c r="C77" s="576" t="s">
        <v>166</v>
      </c>
      <c r="D77" s="380">
        <f>D56+D76</f>
        <v>-2078</v>
      </c>
      <c r="E77" s="380">
        <f>E56+E76</f>
        <v>-2064</v>
      </c>
      <c r="F77" s="380">
        <f>F56+F76</f>
        <v>-3750</v>
      </c>
      <c r="G77" s="380">
        <f>G56+G76</f>
        <v>-7943</v>
      </c>
    </row>
    <row r="78" spans="1:7">
      <c r="A78" s="575">
        <v>3</v>
      </c>
      <c r="B78" s="575"/>
      <c r="C78" s="574" t="s">
        <v>165</v>
      </c>
      <c r="D78" s="377">
        <f>D20+D21+SUM(D38:D43)+SUM(D57:D64)</f>
        <v>294009</v>
      </c>
      <c r="E78" s="377">
        <f>E20+E21+SUM(E38:E43)+SUM(E57:E64)</f>
        <v>301023</v>
      </c>
      <c r="F78" s="377">
        <f>F20+F21+SUM(F38:F43)+SUM(F57:F64)</f>
        <v>298716</v>
      </c>
      <c r="G78" s="377">
        <f>G20+G21+SUM(G38:G43)+SUM(G57:G64)</f>
        <v>307950</v>
      </c>
    </row>
    <row r="79" spans="1:7">
      <c r="A79" s="575">
        <v>4</v>
      </c>
      <c r="B79" s="575"/>
      <c r="C79" s="574" t="s">
        <v>164</v>
      </c>
      <c r="D79" s="377">
        <f>D35+D36+SUM(D44:D53)+SUM(D65:D74)</f>
        <v>291931</v>
      </c>
      <c r="E79" s="377">
        <f>E35+E36+SUM(E44:E53)+SUM(E65:E74)</f>
        <v>298959</v>
      </c>
      <c r="F79" s="377">
        <f>F35+F36+SUM(F44:F53)+SUM(F65:F74)</f>
        <v>294965</v>
      </c>
      <c r="G79" s="377">
        <f>G35+G36+SUM(G44:G53)+SUM(G65:G74)</f>
        <v>300007</v>
      </c>
    </row>
    <row r="80" spans="1:7">
      <c r="A80" s="534"/>
      <c r="B80" s="534"/>
      <c r="C80" s="533"/>
      <c r="D80" s="260"/>
      <c r="E80" s="260"/>
      <c r="F80" s="260"/>
      <c r="G80" s="260"/>
    </row>
    <row r="81" spans="1:7">
      <c r="A81" s="951" t="s">
        <v>163</v>
      </c>
      <c r="B81" s="952"/>
      <c r="C81" s="952"/>
      <c r="D81" s="375"/>
      <c r="E81" s="376"/>
      <c r="F81" s="375"/>
      <c r="G81" s="376"/>
    </row>
    <row r="82" spans="1:7" s="480" customFormat="1">
      <c r="A82" s="567">
        <v>50</v>
      </c>
      <c r="B82" s="565"/>
      <c r="C82" s="565" t="s">
        <v>162</v>
      </c>
      <c r="D82" s="318">
        <v>23615</v>
      </c>
      <c r="E82" s="369">
        <v>24430</v>
      </c>
      <c r="F82" s="317">
        <v>15628</v>
      </c>
      <c r="G82" s="316">
        <v>13356</v>
      </c>
    </row>
    <row r="83" spans="1:7" s="480" customFormat="1">
      <c r="A83" s="567">
        <v>51</v>
      </c>
      <c r="B83" s="565"/>
      <c r="C83" s="565" t="s">
        <v>161</v>
      </c>
      <c r="D83" s="318">
        <v>11651</v>
      </c>
      <c r="E83" s="369">
        <v>6257</v>
      </c>
      <c r="F83" s="317">
        <v>3985</v>
      </c>
      <c r="G83" s="316">
        <v>2282</v>
      </c>
    </row>
    <row r="84" spans="1:7" s="480" customFormat="1">
      <c r="A84" s="567">
        <v>52</v>
      </c>
      <c r="B84" s="565"/>
      <c r="C84" s="565" t="s">
        <v>160</v>
      </c>
      <c r="D84" s="318">
        <v>1114</v>
      </c>
      <c r="E84" s="369">
        <v>719</v>
      </c>
      <c r="F84" s="317">
        <v>593</v>
      </c>
      <c r="G84" s="316">
        <v>1062</v>
      </c>
    </row>
    <row r="85" spans="1:7" s="480" customFormat="1">
      <c r="A85" s="571">
        <v>54</v>
      </c>
      <c r="B85" s="570"/>
      <c r="C85" s="570" t="s">
        <v>117</v>
      </c>
      <c r="D85" s="318">
        <v>508</v>
      </c>
      <c r="E85" s="369">
        <v>738</v>
      </c>
      <c r="F85" s="317">
        <v>125</v>
      </c>
      <c r="G85" s="316">
        <v>787</v>
      </c>
    </row>
    <row r="86" spans="1:7" s="480" customFormat="1">
      <c r="A86" s="571">
        <v>55</v>
      </c>
      <c r="B86" s="570"/>
      <c r="C86" s="570" t="s">
        <v>159</v>
      </c>
      <c r="D86" s="318">
        <v>40</v>
      </c>
      <c r="E86" s="369">
        <v>0</v>
      </c>
      <c r="F86" s="317">
        <v>342</v>
      </c>
      <c r="G86" s="316">
        <v>0</v>
      </c>
    </row>
    <row r="87" spans="1:7" s="480" customFormat="1">
      <c r="A87" s="571">
        <v>56</v>
      </c>
      <c r="B87" s="570"/>
      <c r="C87" s="570" t="s">
        <v>158</v>
      </c>
      <c r="D87" s="318">
        <v>10384</v>
      </c>
      <c r="E87" s="369">
        <v>9583</v>
      </c>
      <c r="F87" s="317">
        <v>10170</v>
      </c>
      <c r="G87" s="316">
        <v>7202</v>
      </c>
    </row>
    <row r="88" spans="1:7" s="480" customFormat="1">
      <c r="A88" s="567">
        <v>57</v>
      </c>
      <c r="B88" s="565"/>
      <c r="C88" s="565" t="s">
        <v>143</v>
      </c>
      <c r="D88" s="318">
        <v>10787</v>
      </c>
      <c r="E88" s="369">
        <v>14313</v>
      </c>
      <c r="F88" s="317">
        <v>12984</v>
      </c>
      <c r="G88" s="316">
        <v>11663</v>
      </c>
    </row>
    <row r="89" spans="1:7" s="480" customFormat="1">
      <c r="A89" s="567">
        <v>580</v>
      </c>
      <c r="B89" s="565"/>
      <c r="C89" s="565" t="s">
        <v>157</v>
      </c>
      <c r="D89" s="318">
        <v>0</v>
      </c>
      <c r="E89" s="369">
        <v>0</v>
      </c>
      <c r="F89" s="317">
        <v>0</v>
      </c>
      <c r="G89" s="316">
        <v>0</v>
      </c>
    </row>
    <row r="90" spans="1:7" s="480" customFormat="1">
      <c r="A90" s="567">
        <v>582</v>
      </c>
      <c r="B90" s="565"/>
      <c r="C90" s="565" t="s">
        <v>156</v>
      </c>
      <c r="D90" s="318">
        <v>0</v>
      </c>
      <c r="E90" s="369">
        <v>0</v>
      </c>
      <c r="F90" s="317">
        <v>0</v>
      </c>
      <c r="G90" s="316">
        <v>0</v>
      </c>
    </row>
    <row r="91" spans="1:7" s="480" customFormat="1">
      <c r="A91" s="567">
        <v>584</v>
      </c>
      <c r="B91" s="565"/>
      <c r="C91" s="565" t="s">
        <v>155</v>
      </c>
      <c r="D91" s="318">
        <v>0</v>
      </c>
      <c r="E91" s="369">
        <v>0</v>
      </c>
      <c r="F91" s="317">
        <v>0</v>
      </c>
      <c r="G91" s="316">
        <v>0</v>
      </c>
    </row>
    <row r="92" spans="1:7" s="480" customFormat="1">
      <c r="A92" s="567">
        <v>585</v>
      </c>
      <c r="B92" s="565"/>
      <c r="C92" s="565" t="s">
        <v>154</v>
      </c>
      <c r="D92" s="318">
        <v>0</v>
      </c>
      <c r="E92" s="369">
        <v>0</v>
      </c>
      <c r="F92" s="317">
        <v>0</v>
      </c>
      <c r="G92" s="316">
        <v>0</v>
      </c>
    </row>
    <row r="93" spans="1:7" s="480" customFormat="1">
      <c r="A93" s="567">
        <v>586</v>
      </c>
      <c r="B93" s="565"/>
      <c r="C93" s="565" t="s">
        <v>153</v>
      </c>
      <c r="D93" s="318">
        <v>0</v>
      </c>
      <c r="E93" s="369">
        <v>0</v>
      </c>
      <c r="F93" s="317">
        <v>0</v>
      </c>
      <c r="G93" s="316">
        <v>0</v>
      </c>
    </row>
    <row r="94" spans="1:7" s="480" customFormat="1">
      <c r="A94" s="568">
        <v>589</v>
      </c>
      <c r="B94" s="561"/>
      <c r="C94" s="561" t="s">
        <v>152</v>
      </c>
      <c r="D94" s="334">
        <v>0</v>
      </c>
      <c r="E94" s="373">
        <v>0</v>
      </c>
      <c r="F94" s="333">
        <v>0</v>
      </c>
      <c r="G94" s="372">
        <v>0</v>
      </c>
    </row>
    <row r="95" spans="1:7">
      <c r="A95" s="557">
        <v>5</v>
      </c>
      <c r="B95" s="555"/>
      <c r="C95" s="555" t="s">
        <v>151</v>
      </c>
      <c r="D95" s="348">
        <f>SUM(D82:D94)</f>
        <v>58099</v>
      </c>
      <c r="E95" s="348">
        <f>SUM(E82:E94)</f>
        <v>56040</v>
      </c>
      <c r="F95" s="348">
        <f>SUM(F82:F94)</f>
        <v>43827</v>
      </c>
      <c r="G95" s="348">
        <f>SUM(G82:G94)</f>
        <v>36352</v>
      </c>
    </row>
    <row r="96" spans="1:7" s="480" customFormat="1">
      <c r="A96" s="567">
        <v>60</v>
      </c>
      <c r="B96" s="565"/>
      <c r="C96" s="565" t="s">
        <v>150</v>
      </c>
      <c r="D96" s="318">
        <v>0</v>
      </c>
      <c r="E96" s="369">
        <v>0</v>
      </c>
      <c r="F96" s="317">
        <v>33</v>
      </c>
      <c r="G96" s="317">
        <v>0</v>
      </c>
    </row>
    <row r="97" spans="1:7" s="480" customFormat="1">
      <c r="A97" s="567">
        <v>61</v>
      </c>
      <c r="B97" s="565"/>
      <c r="C97" s="565" t="s">
        <v>149</v>
      </c>
      <c r="D97" s="318">
        <v>11566</v>
      </c>
      <c r="E97" s="369">
        <v>9975</v>
      </c>
      <c r="F97" s="317">
        <v>4593</v>
      </c>
      <c r="G97" s="317">
        <v>6021</v>
      </c>
    </row>
    <row r="98" spans="1:7" s="480" customFormat="1">
      <c r="A98" s="567">
        <v>62</v>
      </c>
      <c r="B98" s="565"/>
      <c r="C98" s="565" t="s">
        <v>148</v>
      </c>
      <c r="D98" s="318">
        <v>0</v>
      </c>
      <c r="E98" s="369">
        <v>0</v>
      </c>
      <c r="F98" s="317">
        <v>0</v>
      </c>
      <c r="G98" s="317">
        <v>0</v>
      </c>
    </row>
    <row r="99" spans="1:7" s="480" customFormat="1">
      <c r="A99" s="567">
        <v>63</v>
      </c>
      <c r="B99" s="565"/>
      <c r="C99" s="565" t="s">
        <v>147</v>
      </c>
      <c r="D99" s="318">
        <v>2173</v>
      </c>
      <c r="E99" s="369">
        <v>184</v>
      </c>
      <c r="F99" s="317">
        <v>506</v>
      </c>
      <c r="G99" s="317">
        <v>1356</v>
      </c>
    </row>
    <row r="100" spans="1:7" s="480" customFormat="1">
      <c r="A100" s="571">
        <v>64</v>
      </c>
      <c r="B100" s="570"/>
      <c r="C100" s="570" t="s">
        <v>146</v>
      </c>
      <c r="D100" s="318">
        <v>933</v>
      </c>
      <c r="E100" s="369">
        <v>1033</v>
      </c>
      <c r="F100" s="317">
        <v>988</v>
      </c>
      <c r="G100" s="317">
        <v>882</v>
      </c>
    </row>
    <row r="101" spans="1:7" s="480" customFormat="1">
      <c r="A101" s="571">
        <v>65</v>
      </c>
      <c r="B101" s="570"/>
      <c r="C101" s="570" t="s">
        <v>145</v>
      </c>
      <c r="D101" s="318">
        <v>0</v>
      </c>
      <c r="E101" s="369">
        <v>0</v>
      </c>
      <c r="F101" s="317">
        <v>0</v>
      </c>
      <c r="G101" s="317">
        <v>0</v>
      </c>
    </row>
    <row r="102" spans="1:7" s="480" customFormat="1">
      <c r="A102" s="571">
        <v>66</v>
      </c>
      <c r="B102" s="570"/>
      <c r="C102" s="570" t="s">
        <v>144</v>
      </c>
      <c r="D102" s="318">
        <v>0</v>
      </c>
      <c r="E102" s="369">
        <v>0</v>
      </c>
      <c r="F102" s="317">
        <v>0</v>
      </c>
      <c r="G102" s="317">
        <v>0</v>
      </c>
    </row>
    <row r="103" spans="1:7" s="480" customFormat="1">
      <c r="A103" s="567">
        <v>67</v>
      </c>
      <c r="B103" s="565"/>
      <c r="C103" s="565" t="s">
        <v>143</v>
      </c>
      <c r="D103" s="364">
        <v>10787</v>
      </c>
      <c r="E103" s="363">
        <v>14313</v>
      </c>
      <c r="F103" s="362">
        <v>12984</v>
      </c>
      <c r="G103" s="362">
        <v>11663</v>
      </c>
    </row>
    <row r="104" spans="1:7" s="480" customFormat="1" ht="25.5">
      <c r="A104" s="566" t="s">
        <v>142</v>
      </c>
      <c r="B104" s="565"/>
      <c r="C104" s="564" t="s">
        <v>141</v>
      </c>
      <c r="D104" s="364">
        <v>0</v>
      </c>
      <c r="E104" s="363">
        <v>0</v>
      </c>
      <c r="F104" s="362">
        <v>0</v>
      </c>
      <c r="G104" s="362">
        <v>0</v>
      </c>
    </row>
    <row r="105" spans="1:7" s="480" customFormat="1" ht="38.25">
      <c r="A105" s="562" t="s">
        <v>140</v>
      </c>
      <c r="B105" s="561"/>
      <c r="C105" s="560" t="s">
        <v>139</v>
      </c>
      <c r="D105" s="357">
        <v>3969</v>
      </c>
      <c r="E105" s="356">
        <v>1085</v>
      </c>
      <c r="F105" s="355">
        <v>200</v>
      </c>
      <c r="G105" s="355">
        <v>2100</v>
      </c>
    </row>
    <row r="106" spans="1:7">
      <c r="A106" s="557">
        <v>6</v>
      </c>
      <c r="B106" s="555"/>
      <c r="C106" s="555" t="s">
        <v>138</v>
      </c>
      <c r="D106" s="348">
        <f>SUM(D96:D105)</f>
        <v>29428</v>
      </c>
      <c r="E106" s="348">
        <f>SUM(E96:E105)</f>
        <v>26590</v>
      </c>
      <c r="F106" s="348">
        <f>SUM(F96:F105)</f>
        <v>19304</v>
      </c>
      <c r="G106" s="348">
        <f>SUM(G96:G105)</f>
        <v>22022</v>
      </c>
    </row>
    <row r="107" spans="1:7">
      <c r="A107" s="556" t="s">
        <v>137</v>
      </c>
      <c r="B107" s="556"/>
      <c r="C107" s="555" t="s">
        <v>3</v>
      </c>
      <c r="D107" s="348">
        <f>(D95-D88)-(D106-D103)</f>
        <v>28671</v>
      </c>
      <c r="E107" s="348">
        <f>(E95-E88)-(E106-E103)</f>
        <v>29450</v>
      </c>
      <c r="F107" s="348">
        <f>(F95-F88)-(F106-F103)</f>
        <v>24523</v>
      </c>
      <c r="G107" s="348">
        <f>(G95-G88)-(G106-G103)</f>
        <v>14330</v>
      </c>
    </row>
    <row r="108" spans="1:7">
      <c r="A108" s="554" t="s">
        <v>136</v>
      </c>
      <c r="B108" s="554"/>
      <c r="C108" s="553" t="s">
        <v>135</v>
      </c>
      <c r="D108" s="348">
        <f>D107-D85-D86+D100+D101</f>
        <v>29056</v>
      </c>
      <c r="E108" s="348">
        <f>E107-E85-E86+E100+E101</f>
        <v>29745</v>
      </c>
      <c r="F108" s="348">
        <f>F107-F85-F86+F100+F101</f>
        <v>25044</v>
      </c>
      <c r="G108" s="348">
        <f>G107-G85-G86+G100+G101</f>
        <v>14425</v>
      </c>
    </row>
    <row r="109" spans="1:7">
      <c r="A109" s="534"/>
      <c r="B109" s="534"/>
      <c r="C109" s="533"/>
      <c r="D109" s="260"/>
      <c r="E109" s="260"/>
      <c r="F109" s="260"/>
      <c r="G109" s="260"/>
    </row>
    <row r="110" spans="1:7" s="512" customFormat="1">
      <c r="A110" s="550" t="s">
        <v>134</v>
      </c>
      <c r="B110" s="551"/>
      <c r="C110" s="550"/>
      <c r="D110" s="260"/>
      <c r="E110" s="260"/>
      <c r="F110" s="260"/>
      <c r="G110" s="260"/>
    </row>
    <row r="111" spans="1:7" s="516" customFormat="1">
      <c r="A111" s="532">
        <v>10</v>
      </c>
      <c r="B111" s="531"/>
      <c r="C111" s="531" t="s">
        <v>133</v>
      </c>
      <c r="D111" s="327">
        <f>D112+D117</f>
        <v>174935</v>
      </c>
      <c r="E111" s="326">
        <f>E112+E117</f>
        <v>0</v>
      </c>
      <c r="F111" s="327">
        <f>F112+F117</f>
        <v>173549</v>
      </c>
      <c r="G111" s="326">
        <f>G112+G117</f>
        <v>0</v>
      </c>
    </row>
    <row r="112" spans="1:7" s="516" customFormat="1">
      <c r="A112" s="539" t="s">
        <v>132</v>
      </c>
      <c r="B112" s="519"/>
      <c r="C112" s="519" t="s">
        <v>131</v>
      </c>
      <c r="D112" s="327">
        <f>D113+D114+D115+D116</f>
        <v>107752</v>
      </c>
      <c r="E112" s="326">
        <f>E113+E114+E115+E116</f>
        <v>0</v>
      </c>
      <c r="F112" s="327">
        <f>F113+F114+F115+F116</f>
        <v>113105</v>
      </c>
      <c r="G112" s="326">
        <f>G113+G114+G115+G116</f>
        <v>0</v>
      </c>
    </row>
    <row r="113" spans="1:7" s="516" customFormat="1">
      <c r="A113" s="537" t="s">
        <v>130</v>
      </c>
      <c r="B113" s="526"/>
      <c r="C113" s="526" t="s">
        <v>129</v>
      </c>
      <c r="D113" s="317">
        <v>79469</v>
      </c>
      <c r="E113" s="316"/>
      <c r="F113" s="317">
        <f>11541+81468</f>
        <v>93009</v>
      </c>
      <c r="G113" s="316"/>
    </row>
    <row r="114" spans="1:7" s="546" customFormat="1" ht="15" customHeight="1">
      <c r="A114" s="524">
        <v>102</v>
      </c>
      <c r="B114" s="665"/>
      <c r="C114" s="665" t="s">
        <v>128</v>
      </c>
      <c r="D114" s="343">
        <v>22850</v>
      </c>
      <c r="E114" s="342"/>
      <c r="F114" s="343">
        <v>13000</v>
      </c>
      <c r="G114" s="342"/>
    </row>
    <row r="115" spans="1:7" s="516" customFormat="1">
      <c r="A115" s="537">
        <v>104</v>
      </c>
      <c r="B115" s="526"/>
      <c r="C115" s="526" t="s">
        <v>127</v>
      </c>
      <c r="D115" s="317">
        <v>5196</v>
      </c>
      <c r="E115" s="316"/>
      <c r="F115" s="317">
        <v>6889</v>
      </c>
      <c r="G115" s="316"/>
    </row>
    <row r="116" spans="1:7" s="516" customFormat="1">
      <c r="A116" s="537">
        <v>106</v>
      </c>
      <c r="B116" s="526"/>
      <c r="C116" s="526" t="s">
        <v>126</v>
      </c>
      <c r="D116" s="317">
        <v>237</v>
      </c>
      <c r="E116" s="316"/>
      <c r="F116" s="317">
        <v>207</v>
      </c>
      <c r="G116" s="316"/>
    </row>
    <row r="117" spans="1:7" s="516" customFormat="1">
      <c r="A117" s="539" t="s">
        <v>125</v>
      </c>
      <c r="B117" s="519"/>
      <c r="C117" s="519" t="s">
        <v>124</v>
      </c>
      <c r="D117" s="327">
        <f>D118+D119+D120</f>
        <v>67183</v>
      </c>
      <c r="E117" s="326">
        <f>E118+E119+E120</f>
        <v>0</v>
      </c>
      <c r="F117" s="327">
        <f>F118+F119+F120</f>
        <v>60444</v>
      </c>
      <c r="G117" s="326">
        <f>G118+G119+G120</f>
        <v>0</v>
      </c>
    </row>
    <row r="118" spans="1:7" s="516" customFormat="1">
      <c r="A118" s="537">
        <v>107</v>
      </c>
      <c r="B118" s="526"/>
      <c r="C118" s="526" t="s">
        <v>123</v>
      </c>
      <c r="D118" s="317">
        <v>66865</v>
      </c>
      <c r="E118" s="316"/>
      <c r="F118" s="317">
        <v>60127</v>
      </c>
      <c r="G118" s="316"/>
    </row>
    <row r="119" spans="1:7" s="516" customFormat="1">
      <c r="A119" s="537">
        <v>108</v>
      </c>
      <c r="B119" s="526"/>
      <c r="C119" s="526" t="s">
        <v>122</v>
      </c>
      <c r="D119" s="317">
        <v>318</v>
      </c>
      <c r="E119" s="316"/>
      <c r="F119" s="317">
        <v>317</v>
      </c>
      <c r="G119" s="316"/>
    </row>
    <row r="120" spans="1:7" s="538" customFormat="1" ht="25.5">
      <c r="A120" s="524">
        <v>109</v>
      </c>
      <c r="B120" s="523"/>
      <c r="C120" s="523" t="s">
        <v>121</v>
      </c>
      <c r="D120" s="311">
        <v>0</v>
      </c>
      <c r="E120" s="310"/>
      <c r="F120" s="311">
        <v>0</v>
      </c>
      <c r="G120" s="310"/>
    </row>
    <row r="121" spans="1:7" s="516" customFormat="1">
      <c r="A121" s="539">
        <v>14</v>
      </c>
      <c r="B121" s="519"/>
      <c r="C121" s="519" t="s">
        <v>120</v>
      </c>
      <c r="D121" s="327">
        <f>SUM(D122:D130)</f>
        <v>127285</v>
      </c>
      <c r="E121" s="327">
        <f>SUM(E122:E130)</f>
        <v>0</v>
      </c>
      <c r="F121" s="327">
        <f>SUM(F122:F130)</f>
        <v>135339</v>
      </c>
      <c r="G121" s="327">
        <f>SUM(G122:G130)</f>
        <v>0</v>
      </c>
    </row>
    <row r="122" spans="1:7" s="516" customFormat="1">
      <c r="A122" s="537" t="s">
        <v>119</v>
      </c>
      <c r="B122" s="526"/>
      <c r="C122" s="526" t="s">
        <v>118</v>
      </c>
      <c r="D122" s="317">
        <v>66533</v>
      </c>
      <c r="E122" s="316"/>
      <c r="F122" s="317">
        <f>71923+1090</f>
        <v>73013</v>
      </c>
      <c r="G122" s="316"/>
    </row>
    <row r="123" spans="1:7" s="516" customFormat="1">
      <c r="A123" s="537">
        <v>144</v>
      </c>
      <c r="B123" s="526"/>
      <c r="C123" s="526" t="s">
        <v>117</v>
      </c>
      <c r="D123" s="317">
        <v>7308</v>
      </c>
      <c r="E123" s="316"/>
      <c r="F123" s="317">
        <v>6444</v>
      </c>
      <c r="G123" s="316"/>
    </row>
    <row r="124" spans="1:7" s="516" customFormat="1">
      <c r="A124" s="537">
        <v>145</v>
      </c>
      <c r="B124" s="526"/>
      <c r="C124" s="526" t="s">
        <v>116</v>
      </c>
      <c r="D124" s="317">
        <v>22165</v>
      </c>
      <c r="E124" s="304"/>
      <c r="F124" s="317">
        <v>22165</v>
      </c>
      <c r="G124" s="304"/>
    </row>
    <row r="125" spans="1:7" s="516" customFormat="1">
      <c r="A125" s="537">
        <v>146</v>
      </c>
      <c r="B125" s="526"/>
      <c r="C125" s="526" t="s">
        <v>115</v>
      </c>
      <c r="D125" s="317">
        <v>31279</v>
      </c>
      <c r="E125" s="304"/>
      <c r="F125" s="317">
        <v>33717</v>
      </c>
      <c r="G125" s="304"/>
    </row>
    <row r="126" spans="1:7" s="538" customFormat="1" ht="29.45" customHeight="1">
      <c r="A126" s="524" t="s">
        <v>114</v>
      </c>
      <c r="B126" s="523"/>
      <c r="C126" s="523" t="s">
        <v>113</v>
      </c>
      <c r="D126" s="311">
        <v>0</v>
      </c>
      <c r="E126" s="339"/>
      <c r="F126" s="311">
        <v>0</v>
      </c>
      <c r="G126" s="339"/>
    </row>
    <row r="127" spans="1:7" s="516" customFormat="1">
      <c r="A127" s="537">
        <v>1484</v>
      </c>
      <c r="B127" s="526"/>
      <c r="C127" s="526" t="s">
        <v>112</v>
      </c>
      <c r="D127" s="317">
        <v>0</v>
      </c>
      <c r="E127" s="304"/>
      <c r="F127" s="317">
        <v>0</v>
      </c>
      <c r="G127" s="304"/>
    </row>
    <row r="128" spans="1:7" s="516" customFormat="1">
      <c r="A128" s="537">
        <v>1485</v>
      </c>
      <c r="B128" s="526"/>
      <c r="C128" s="526" t="s">
        <v>111</v>
      </c>
      <c r="D128" s="317">
        <v>0</v>
      </c>
      <c r="E128" s="304"/>
      <c r="F128" s="317">
        <v>0</v>
      </c>
      <c r="G128" s="304"/>
    </row>
    <row r="129" spans="1:7" s="516" customFormat="1">
      <c r="A129" s="537">
        <v>1486</v>
      </c>
      <c r="B129" s="526"/>
      <c r="C129" s="526" t="s">
        <v>110</v>
      </c>
      <c r="D129" s="317">
        <v>0</v>
      </c>
      <c r="E129" s="304"/>
      <c r="F129" s="317">
        <v>0</v>
      </c>
      <c r="G129" s="304"/>
    </row>
    <row r="130" spans="1:7" s="516" customFormat="1">
      <c r="A130" s="536">
        <v>1489</v>
      </c>
      <c r="B130" s="535"/>
      <c r="C130" s="535" t="s">
        <v>109</v>
      </c>
      <c r="D130" s="333">
        <v>0</v>
      </c>
      <c r="E130" s="332"/>
      <c r="F130" s="333">
        <v>0</v>
      </c>
      <c r="G130" s="332"/>
    </row>
    <row r="131" spans="1:7" s="512" customFormat="1">
      <c r="A131" s="515">
        <v>1</v>
      </c>
      <c r="B131" s="514"/>
      <c r="C131" s="515" t="s">
        <v>108</v>
      </c>
      <c r="D131" s="295">
        <f>D111+D121</f>
        <v>302220</v>
      </c>
      <c r="E131" s="295">
        <f>E111+E121</f>
        <v>0</v>
      </c>
      <c r="F131" s="295">
        <f>F111+F121</f>
        <v>308888</v>
      </c>
      <c r="G131" s="295">
        <f>G111+G121</f>
        <v>0</v>
      </c>
    </row>
    <row r="132" spans="1:7" s="512" customFormat="1">
      <c r="A132" s="534"/>
      <c r="B132" s="534"/>
      <c r="C132" s="533"/>
      <c r="D132" s="260"/>
      <c r="E132" s="260"/>
      <c r="F132" s="260"/>
      <c r="G132" s="260"/>
    </row>
    <row r="133" spans="1:7" s="516" customFormat="1">
      <c r="A133" s="532">
        <v>20</v>
      </c>
      <c r="B133" s="531"/>
      <c r="C133" s="531" t="s">
        <v>107</v>
      </c>
      <c r="D133" s="329">
        <f>D134+D140</f>
        <v>111912</v>
      </c>
      <c r="E133" s="530">
        <f>E134+E140</f>
        <v>0</v>
      </c>
      <c r="F133" s="329">
        <f>F134+F140</f>
        <v>133378</v>
      </c>
      <c r="G133" s="530">
        <f>G134+G140</f>
        <v>0</v>
      </c>
    </row>
    <row r="134" spans="1:7" s="516" customFormat="1">
      <c r="A134" s="520" t="s">
        <v>106</v>
      </c>
      <c r="B134" s="519"/>
      <c r="C134" s="519" t="s">
        <v>105</v>
      </c>
      <c r="D134" s="327">
        <f>D135+D136+D138+D139</f>
        <v>66711</v>
      </c>
      <c r="E134" s="326">
        <f>E135+E136+E138+E139</f>
        <v>0</v>
      </c>
      <c r="F134" s="327">
        <f>F135+F136+F138+F139</f>
        <v>87949</v>
      </c>
      <c r="G134" s="326">
        <f>G135+G136+G138+G139</f>
        <v>0</v>
      </c>
    </row>
    <row r="135" spans="1:7" s="525" customFormat="1">
      <c r="A135" s="527">
        <v>200</v>
      </c>
      <c r="B135" s="526"/>
      <c r="C135" s="526" t="s">
        <v>104</v>
      </c>
      <c r="D135" s="317">
        <v>39576</v>
      </c>
      <c r="E135" s="316"/>
      <c r="F135" s="317">
        <v>43675</v>
      </c>
      <c r="G135" s="316"/>
    </row>
    <row r="136" spans="1:7" s="525" customFormat="1">
      <c r="A136" s="527">
        <v>201</v>
      </c>
      <c r="B136" s="526"/>
      <c r="C136" s="526" t="s">
        <v>103</v>
      </c>
      <c r="D136" s="317">
        <v>14612</v>
      </c>
      <c r="E136" s="316"/>
      <c r="F136" s="317">
        <v>28605</v>
      </c>
      <c r="G136" s="316"/>
    </row>
    <row r="137" spans="1:7" s="525" customFormat="1">
      <c r="A137" s="529" t="s">
        <v>102</v>
      </c>
      <c r="B137" s="528"/>
      <c r="C137" s="528" t="s">
        <v>101</v>
      </c>
      <c r="D137" s="322">
        <v>0</v>
      </c>
      <c r="E137" s="328"/>
      <c r="F137" s="322">
        <v>0</v>
      </c>
      <c r="G137" s="328"/>
    </row>
    <row r="138" spans="1:7" s="525" customFormat="1">
      <c r="A138" s="527">
        <v>204</v>
      </c>
      <c r="B138" s="526"/>
      <c r="C138" s="526" t="s">
        <v>100</v>
      </c>
      <c r="D138" s="317">
        <v>10732</v>
      </c>
      <c r="E138" s="304"/>
      <c r="F138" s="317">
        <v>13978</v>
      </c>
      <c r="G138" s="304"/>
    </row>
    <row r="139" spans="1:7" s="525" customFormat="1">
      <c r="A139" s="527">
        <v>205</v>
      </c>
      <c r="B139" s="526"/>
      <c r="C139" s="526" t="s">
        <v>99</v>
      </c>
      <c r="D139" s="317">
        <v>1791</v>
      </c>
      <c r="E139" s="304"/>
      <c r="F139" s="317">
        <v>1691</v>
      </c>
      <c r="G139" s="304"/>
    </row>
    <row r="140" spans="1:7" s="525" customFormat="1">
      <c r="A140" s="520" t="s">
        <v>98</v>
      </c>
      <c r="B140" s="519"/>
      <c r="C140" s="519" t="s">
        <v>97</v>
      </c>
      <c r="D140" s="327">
        <f>D141+D143+D144</f>
        <v>45201</v>
      </c>
      <c r="E140" s="326">
        <f>E141+E143+E144</f>
        <v>0</v>
      </c>
      <c r="F140" s="327">
        <f>F141+F143+F144</f>
        <v>45429</v>
      </c>
      <c r="G140" s="326">
        <f>G141+G143+G144</f>
        <v>0</v>
      </c>
    </row>
    <row r="141" spans="1:7" s="525" customFormat="1">
      <c r="A141" s="527">
        <v>206</v>
      </c>
      <c r="B141" s="526"/>
      <c r="C141" s="526" t="s">
        <v>96</v>
      </c>
      <c r="D141" s="317">
        <v>0</v>
      </c>
      <c r="E141" s="304"/>
      <c r="F141" s="317">
        <v>0</v>
      </c>
      <c r="G141" s="304"/>
    </row>
    <row r="142" spans="1:7" s="525" customFormat="1">
      <c r="A142" s="529" t="s">
        <v>95</v>
      </c>
      <c r="B142" s="528"/>
      <c r="C142" s="528" t="s">
        <v>94</v>
      </c>
      <c r="D142" s="322">
        <v>0</v>
      </c>
      <c r="E142" s="328"/>
      <c r="F142" s="322">
        <v>0</v>
      </c>
      <c r="G142" s="328"/>
    </row>
    <row r="143" spans="1:7" s="525" customFormat="1">
      <c r="A143" s="527">
        <v>208</v>
      </c>
      <c r="B143" s="526"/>
      <c r="C143" s="526" t="s">
        <v>93</v>
      </c>
      <c r="D143" s="317">
        <v>4153</v>
      </c>
      <c r="E143" s="304"/>
      <c r="F143" s="317">
        <v>3939</v>
      </c>
      <c r="G143" s="304"/>
    </row>
    <row r="144" spans="1:7" s="521" customFormat="1" ht="25.5">
      <c r="A144" s="524">
        <v>209</v>
      </c>
      <c r="B144" s="523"/>
      <c r="C144" s="523" t="s">
        <v>92</v>
      </c>
      <c r="D144" s="311">
        <v>41048</v>
      </c>
      <c r="E144" s="339"/>
      <c r="F144" s="311">
        <v>41490</v>
      </c>
      <c r="G144" s="339"/>
    </row>
    <row r="145" spans="1:7" s="516" customFormat="1">
      <c r="A145" s="520">
        <v>29</v>
      </c>
      <c r="B145" s="519"/>
      <c r="C145" s="519" t="s">
        <v>61</v>
      </c>
      <c r="D145" s="305">
        <v>190308</v>
      </c>
      <c r="E145" s="304"/>
      <c r="F145" s="305">
        <v>175510</v>
      </c>
      <c r="G145" s="304"/>
    </row>
    <row r="146" spans="1:7" s="516" customFormat="1">
      <c r="A146" s="518" t="s">
        <v>91</v>
      </c>
      <c r="B146" s="517"/>
      <c r="C146" s="517" t="s">
        <v>90</v>
      </c>
      <c r="D146" s="300">
        <v>149807</v>
      </c>
      <c r="E146" s="299"/>
      <c r="F146" s="300">
        <v>146057</v>
      </c>
      <c r="G146" s="299"/>
    </row>
    <row r="147" spans="1:7" s="512" customFormat="1">
      <c r="A147" s="515">
        <v>2</v>
      </c>
      <c r="B147" s="514"/>
      <c r="C147" s="515" t="s">
        <v>89</v>
      </c>
      <c r="D147" s="295">
        <f>D133+D145</f>
        <v>302220</v>
      </c>
      <c r="E147" s="295">
        <f>E133+E145</f>
        <v>0</v>
      </c>
      <c r="F147" s="295">
        <f>F133+F145</f>
        <v>308888</v>
      </c>
      <c r="G147" s="295">
        <f>G133+G145</f>
        <v>0</v>
      </c>
    </row>
    <row r="148" spans="1:7" ht="7.5" customHeight="1">
      <c r="D148" s="512"/>
      <c r="F148" s="512"/>
    </row>
    <row r="149" spans="1:7" ht="13.5" customHeight="1">
      <c r="A149" s="511" t="s">
        <v>88</v>
      </c>
      <c r="B149" s="509"/>
      <c r="C149" s="664" t="s">
        <v>87</v>
      </c>
      <c r="D149" s="509"/>
      <c r="E149" s="509"/>
      <c r="F149" s="509"/>
      <c r="G149" s="509"/>
    </row>
    <row r="150" spans="1:7">
      <c r="A150" s="658" t="s">
        <v>86</v>
      </c>
      <c r="B150" s="657"/>
      <c r="C150" s="657" t="s">
        <v>85</v>
      </c>
      <c r="D150" s="268">
        <f>D77+SUM(D8:D12)-D30-D31+D16-D33+D59+D63-D73+D64-D74-D54+D20-D35</f>
        <v>9478</v>
      </c>
      <c r="E150" s="268">
        <f>E77+SUM(E8:E12)-E30-E31+E16-E33+E59+E63-E73+E64-E74-E54+E20-E35</f>
        <v>1771</v>
      </c>
      <c r="F150" s="268">
        <f>F77+SUM(F8:F12)-F30-F31+F16-F33+F59+F63-F73+F64-F74-F54+F20-F35</f>
        <v>1935</v>
      </c>
      <c r="G150" s="268">
        <f>G77+SUM(G8:G12)-G30-G31+G16-G33+G59+G63-G73+G64-G74-G54+G20-G35</f>
        <v>870</v>
      </c>
    </row>
    <row r="151" spans="1:7">
      <c r="A151" s="654" t="s">
        <v>84</v>
      </c>
      <c r="B151" s="653"/>
      <c r="C151" s="653" t="s">
        <v>83</v>
      </c>
      <c r="D151" s="269">
        <f>IF(D177=0,0,D150/D177)</f>
        <v>4.1544483455406962E-2</v>
      </c>
      <c r="E151" s="269">
        <f>IF(E177=0,0,E150/E177)</f>
        <v>7.8131893341803864E-3</v>
      </c>
      <c r="F151" s="269">
        <f>IF(F177=0,0,F150/F177)</f>
        <v>8.7095075414883125E-3</v>
      </c>
      <c r="G151" s="269">
        <f>IF(G177=0,0,G150/G177)</f>
        <v>3.8303886303498861E-3</v>
      </c>
    </row>
    <row r="152" spans="1:7" s="613" customFormat="1" ht="25.5">
      <c r="A152" s="497" t="s">
        <v>81</v>
      </c>
      <c r="B152" s="663"/>
      <c r="C152" s="663" t="s">
        <v>82</v>
      </c>
      <c r="D152" s="289">
        <f>IF(D107=0,0,D150/D107)</f>
        <v>0.33057793589341145</v>
      </c>
      <c r="E152" s="289">
        <f>IF(E107=0,0,E150/E107)</f>
        <v>6.0135823429541595E-2</v>
      </c>
      <c r="F152" s="289">
        <f>IF(F107=0,0,F150/F107)</f>
        <v>7.8905517269502096E-2</v>
      </c>
      <c r="G152" s="289">
        <f>IF(G107=0,0,G150/G107)</f>
        <v>6.0711793440334963E-2</v>
      </c>
    </row>
    <row r="153" spans="1:7" s="504" customFormat="1" ht="25.5">
      <c r="A153" s="503" t="s">
        <v>81</v>
      </c>
      <c r="B153" s="662"/>
      <c r="C153" s="662" t="s">
        <v>80</v>
      </c>
      <c r="D153" s="758">
        <f>IF(0=D108,0,D150/D108)</f>
        <v>0.32619768722466963</v>
      </c>
      <c r="E153" s="758">
        <f>IF(0=E108,0,E150/E108)</f>
        <v>5.953941838964532E-2</v>
      </c>
      <c r="F153" s="758">
        <f>IF(0=F108,0,F150/F108)</f>
        <v>7.72640153330139E-2</v>
      </c>
      <c r="G153" s="758">
        <f>IF(0=G108,0,G150/G108)</f>
        <v>6.0311958405545929E-2</v>
      </c>
    </row>
    <row r="154" spans="1:7" s="504" customFormat="1" ht="25.5">
      <c r="A154" s="508" t="s">
        <v>79</v>
      </c>
      <c r="B154" s="661"/>
      <c r="C154" s="661" t="s">
        <v>78</v>
      </c>
      <c r="D154" s="282">
        <f>D150-D107</f>
        <v>-19193</v>
      </c>
      <c r="E154" s="282">
        <f>E150-E107</f>
        <v>-27679</v>
      </c>
      <c r="F154" s="282">
        <f>F150-F107</f>
        <v>-22588</v>
      </c>
      <c r="G154" s="282">
        <f>G150-G107</f>
        <v>-13460</v>
      </c>
    </row>
    <row r="155" spans="1:7" ht="25.5">
      <c r="A155" s="660" t="s">
        <v>77</v>
      </c>
      <c r="B155" s="659"/>
      <c r="C155" s="659" t="s">
        <v>76</v>
      </c>
      <c r="D155" s="279">
        <f>D150-D108</f>
        <v>-19578</v>
      </c>
      <c r="E155" s="279">
        <f>E150-E108</f>
        <v>-27974</v>
      </c>
      <c r="F155" s="279">
        <f>F150-F108</f>
        <v>-23109</v>
      </c>
      <c r="G155" s="279">
        <f>G150-G108</f>
        <v>-13555</v>
      </c>
    </row>
    <row r="156" spans="1:7">
      <c r="A156" s="658" t="s">
        <v>75</v>
      </c>
      <c r="B156" s="657"/>
      <c r="C156" s="657" t="s">
        <v>74</v>
      </c>
      <c r="D156" s="277">
        <f>D135+D136-D137+D141-D142</f>
        <v>54188</v>
      </c>
      <c r="E156" s="277">
        <f>E135+E136-E137+E141-E142</f>
        <v>0</v>
      </c>
      <c r="F156" s="277">
        <f>F135+F136-F137+F141-F142</f>
        <v>72280</v>
      </c>
      <c r="G156" s="277">
        <f>G135+G136-G137+G141-G142</f>
        <v>0</v>
      </c>
    </row>
    <row r="157" spans="1:7">
      <c r="A157" s="656" t="s">
        <v>73</v>
      </c>
      <c r="B157" s="655"/>
      <c r="C157" s="655" t="s">
        <v>72</v>
      </c>
      <c r="D157" s="273">
        <f>IF(D177=0,0,D156/D177)</f>
        <v>0.23751977943464786</v>
      </c>
      <c r="E157" s="273">
        <f>IF(E177=0,0,E156/E177)</f>
        <v>0</v>
      </c>
      <c r="F157" s="273">
        <f>IF(F177=0,0,F156/F177)</f>
        <v>0.32533498971512936</v>
      </c>
      <c r="G157" s="273">
        <f>IF(G177=0,0,G156/G177)</f>
        <v>0</v>
      </c>
    </row>
    <row r="158" spans="1:7">
      <c r="A158" s="658" t="s">
        <v>71</v>
      </c>
      <c r="B158" s="657"/>
      <c r="C158" s="657" t="s">
        <v>70</v>
      </c>
      <c r="D158" s="277">
        <f>D133-D142-D111</f>
        <v>-63023</v>
      </c>
      <c r="E158" s="277">
        <f>E133-E142-E111</f>
        <v>0</v>
      </c>
      <c r="F158" s="277">
        <f>F133-F142-F111</f>
        <v>-40171</v>
      </c>
      <c r="G158" s="277">
        <f>G133-G142-G111</f>
        <v>0</v>
      </c>
    </row>
    <row r="159" spans="1:7">
      <c r="A159" s="654" t="s">
        <v>69</v>
      </c>
      <c r="B159" s="653"/>
      <c r="C159" s="653" t="s">
        <v>68</v>
      </c>
      <c r="D159" s="265">
        <f>D121-D123-D124-D142-D145</f>
        <v>-92496</v>
      </c>
      <c r="E159" s="265">
        <f>E121-E123-E124-E142-E145</f>
        <v>0</v>
      </c>
      <c r="F159" s="265">
        <f>F121-F123-F124-F142-F145</f>
        <v>-68780</v>
      </c>
      <c r="G159" s="265">
        <f>G121-G123-G124-G142-G145</f>
        <v>0</v>
      </c>
    </row>
    <row r="160" spans="1:7">
      <c r="A160" s="654" t="s">
        <v>66</v>
      </c>
      <c r="B160" s="653"/>
      <c r="C160" s="653" t="s">
        <v>67</v>
      </c>
      <c r="D160" s="276">
        <f>IF(D175=0,"-",1000*D158/D175)</f>
        <v>-1715.4717186564321</v>
      </c>
      <c r="E160" s="276">
        <f>IF(E175=0,"-",1000*E158/E175)</f>
        <v>0</v>
      </c>
      <c r="F160" s="276">
        <f>IF(F175=0,"-",1000*F158/F175)</f>
        <v>-1085.6440192422031</v>
      </c>
      <c r="G160" s="276">
        <f>IF(G175=0,"-",1000*G158/G175)</f>
        <v>0</v>
      </c>
    </row>
    <row r="161" spans="1:7">
      <c r="A161" s="654" t="s">
        <v>66</v>
      </c>
      <c r="B161" s="653"/>
      <c r="C161" s="653" t="s">
        <v>65</v>
      </c>
      <c r="D161" s="265">
        <f>IF(D175=0,0,1000*(D159/D175))</f>
        <v>-2517.7200718601994</v>
      </c>
      <c r="E161" s="265">
        <f>IF(E175=0,0,1000*(E159/E175))</f>
        <v>0</v>
      </c>
      <c r="F161" s="265">
        <f>IF(F175=0,0,1000*(F159/F175))</f>
        <v>-1858.8184422463651</v>
      </c>
      <c r="G161" s="265">
        <f>IF(G175=0,0,1000*(G159/G175))</f>
        <v>0</v>
      </c>
    </row>
    <row r="162" spans="1:7">
      <c r="A162" s="656" t="s">
        <v>64</v>
      </c>
      <c r="B162" s="655"/>
      <c r="C162" s="655" t="s">
        <v>63</v>
      </c>
      <c r="D162" s="273">
        <f>IF((D22+D23+D65+D66)=0,0,D158/(D22+D23+D65+D66))</f>
        <v>-0.67970578401872284</v>
      </c>
      <c r="E162" s="273">
        <f>IF((E22+E23+E65+E66)=0,0,E158/(E22+E23+E65+E66))</f>
        <v>0</v>
      </c>
      <c r="F162" s="273">
        <f>IF((F22+F23+F65+F66)=0,0,F158/(F22+F23+F65+F66))</f>
        <v>-0.45684684582229246</v>
      </c>
      <c r="G162" s="273">
        <f>IF((G22+G23+G65+G66)=0,0,G158/(G22+G23+G65+G66))</f>
        <v>0</v>
      </c>
    </row>
    <row r="163" spans="1:7">
      <c r="A163" s="654" t="s">
        <v>62</v>
      </c>
      <c r="B163" s="653"/>
      <c r="C163" s="653" t="s">
        <v>61</v>
      </c>
      <c r="D163" s="268">
        <f>D145</f>
        <v>190308</v>
      </c>
      <c r="E163" s="268">
        <f>E145</f>
        <v>0</v>
      </c>
      <c r="F163" s="268">
        <f>F145</f>
        <v>175510</v>
      </c>
      <c r="G163" s="268">
        <f>G145</f>
        <v>0</v>
      </c>
    </row>
    <row r="164" spans="1:7" ht="25.5">
      <c r="A164" s="497" t="s">
        <v>60</v>
      </c>
      <c r="B164" s="655"/>
      <c r="C164" s="655" t="s">
        <v>59</v>
      </c>
      <c r="D164" s="274">
        <f>IF(D178=0,0,D146/D178)</f>
        <v>0.64234474892697424</v>
      </c>
      <c r="E164" s="274">
        <f>IF(E178=0,0,E146/E178)</f>
        <v>0</v>
      </c>
      <c r="F164" s="274">
        <f>IF(F178=0,0,F146/F178)</f>
        <v>0.6164823569137261</v>
      </c>
      <c r="G164" s="274">
        <f>IF(G178=0,0,G146/G178)</f>
        <v>0</v>
      </c>
    </row>
    <row r="165" spans="1:7">
      <c r="A165" s="652" t="s">
        <v>58</v>
      </c>
      <c r="B165" s="651"/>
      <c r="C165" s="651" t="s">
        <v>57</v>
      </c>
      <c r="D165" s="262">
        <f>IF(D177=0,0,D180/D177)</f>
        <v>6.0085648787372721E-2</v>
      </c>
      <c r="E165" s="262">
        <f>IF(E177=0,0,E180/E177)</f>
        <v>6.1852577337780365E-2</v>
      </c>
      <c r="F165" s="262">
        <f>IF(F177=0,0,F180/F177)</f>
        <v>6.9054917158405019E-2</v>
      </c>
      <c r="G165" s="262">
        <f>IF(G177=0,0,G180/G177)</f>
        <v>7.4159846080015496E-2</v>
      </c>
    </row>
    <row r="166" spans="1:7">
      <c r="A166" s="654" t="s">
        <v>56</v>
      </c>
      <c r="B166" s="653"/>
      <c r="C166" s="653" t="s">
        <v>55</v>
      </c>
      <c r="D166" s="268">
        <f>D55</f>
        <v>18795</v>
      </c>
      <c r="E166" s="268">
        <f>E55</f>
        <v>19626</v>
      </c>
      <c r="F166" s="268">
        <f>F55</f>
        <v>19874</v>
      </c>
      <c r="G166" s="268">
        <f>G55</f>
        <v>19484</v>
      </c>
    </row>
    <row r="167" spans="1:7">
      <c r="A167" s="656" t="s">
        <v>54</v>
      </c>
      <c r="B167" s="655"/>
      <c r="C167" s="655" t="s">
        <v>53</v>
      </c>
      <c r="D167" s="273">
        <f>IF(0=D111,0,(D44+D45+D46+D47+D48)/D111)</f>
        <v>1.1941578300511619E-2</v>
      </c>
      <c r="E167" s="273">
        <f>IF(0=E111,0,(E44+E45+E46+E47+E48)/E111)</f>
        <v>0</v>
      </c>
      <c r="F167" s="273">
        <f>IF(0=F111,0,(F44+F45+F46+F47+F48)/F111)</f>
        <v>9.7724561939279402E-3</v>
      </c>
      <c r="G167" s="273">
        <f>IF(0=G111,0,(G44+G45+G46+G47+G48)/G111)</f>
        <v>0</v>
      </c>
    </row>
    <row r="168" spans="1:7">
      <c r="A168" s="654" t="s">
        <v>52</v>
      </c>
      <c r="B168" s="657"/>
      <c r="C168" s="657" t="s">
        <v>51</v>
      </c>
      <c r="D168" s="268">
        <f>D38-D44</f>
        <v>-1384</v>
      </c>
      <c r="E168" s="268">
        <f>E38-E44</f>
        <v>-1152</v>
      </c>
      <c r="F168" s="268">
        <f>F38-F44</f>
        <v>-984</v>
      </c>
      <c r="G168" s="268">
        <f>G38-G44</f>
        <v>-852</v>
      </c>
    </row>
    <row r="169" spans="1:7">
      <c r="A169" s="656" t="s">
        <v>50</v>
      </c>
      <c r="B169" s="655"/>
      <c r="C169" s="655" t="s">
        <v>49</v>
      </c>
      <c r="D169" s="269">
        <f>IF(D177=0,0,D168/D177)</f>
        <v>-6.066423834383123E-3</v>
      </c>
      <c r="E169" s="269">
        <f>IF(E177=0,0,E168/E177)</f>
        <v>-5.082323045158558E-3</v>
      </c>
      <c r="F169" s="269">
        <f>IF(F177=0,0,F168/F177)</f>
        <v>-4.4290208893149868E-3</v>
      </c>
      <c r="G169" s="269">
        <f>IF(G177=0,0,G168/G177)</f>
        <v>-3.7511392104116127E-3</v>
      </c>
    </row>
    <row r="170" spans="1:7">
      <c r="A170" s="654" t="s">
        <v>48</v>
      </c>
      <c r="B170" s="653"/>
      <c r="C170" s="653" t="s">
        <v>47</v>
      </c>
      <c r="D170" s="268">
        <f>SUM(D82:D87)+SUM(D89:D94)</f>
        <v>47312</v>
      </c>
      <c r="E170" s="268">
        <f>SUM(E82:E87)+SUM(E89:E94)</f>
        <v>41727</v>
      </c>
      <c r="F170" s="268">
        <f>SUM(F82:F87)+SUM(F89:F94)</f>
        <v>30843</v>
      </c>
      <c r="G170" s="268">
        <f>SUM(G82:G87)+SUM(G89:G94)</f>
        <v>24689</v>
      </c>
    </row>
    <row r="171" spans="1:7">
      <c r="A171" s="654" t="s">
        <v>46</v>
      </c>
      <c r="B171" s="653"/>
      <c r="C171" s="653" t="s">
        <v>45</v>
      </c>
      <c r="D171" s="265">
        <f>SUM(D96:D102)+SUM(D104:D105)</f>
        <v>18641</v>
      </c>
      <c r="E171" s="265">
        <f>SUM(E96:E102)+SUM(E104:E105)</f>
        <v>12277</v>
      </c>
      <c r="F171" s="265">
        <f>SUM(F96:F102)+SUM(F104:F105)</f>
        <v>6320</v>
      </c>
      <c r="G171" s="265">
        <f>SUM(G96:G102)+SUM(G104:G105)</f>
        <v>10359</v>
      </c>
    </row>
    <row r="172" spans="1:7">
      <c r="A172" s="652" t="s">
        <v>44</v>
      </c>
      <c r="B172" s="651"/>
      <c r="C172" s="651" t="s">
        <v>43</v>
      </c>
      <c r="D172" s="262">
        <f>IF(D184=0,0,D170/D184)</f>
        <v>0.17840255205544536</v>
      </c>
      <c r="E172" s="262">
        <f>IF(E184=0,0,E170/E184)</f>
        <v>0.1567099437035479</v>
      </c>
      <c r="F172" s="262">
        <f>IF(F184=0,0,F170/F184)</f>
        <v>0.12330935884570639</v>
      </c>
      <c r="G172" s="262">
        <f>IF(G184=0,0,G170/G184)</f>
        <v>9.8723223889668629E-2</v>
      </c>
    </row>
    <row r="173" spans="1:7">
      <c r="A173" s="678"/>
    </row>
    <row r="174" spans="1:7">
      <c r="A174" s="479" t="s">
        <v>42</v>
      </c>
      <c r="B174" s="477"/>
      <c r="C174" s="649"/>
      <c r="D174" s="260"/>
      <c r="E174" s="260"/>
      <c r="F174" s="260"/>
      <c r="G174" s="260"/>
    </row>
    <row r="175" spans="1:7" s="480" customFormat="1">
      <c r="A175" s="478" t="s">
        <v>41</v>
      </c>
      <c r="B175" s="477"/>
      <c r="C175" s="477" t="s">
        <v>40</v>
      </c>
      <c r="D175" s="481">
        <v>36738</v>
      </c>
      <c r="E175" s="481">
        <v>36738</v>
      </c>
      <c r="F175" s="481">
        <v>37002</v>
      </c>
      <c r="G175" s="481">
        <f>+F175+200</f>
        <v>37202</v>
      </c>
    </row>
    <row r="176" spans="1:7">
      <c r="A176" s="479" t="s">
        <v>39</v>
      </c>
      <c r="B176" s="477"/>
      <c r="C176" s="477"/>
      <c r="D176" s="477"/>
      <c r="E176" s="477"/>
      <c r="F176" s="477"/>
      <c r="G176" s="477"/>
    </row>
    <row r="177" spans="1:7">
      <c r="A177" s="478" t="s">
        <v>38</v>
      </c>
      <c r="B177" s="477"/>
      <c r="C177" s="477" t="s">
        <v>37</v>
      </c>
      <c r="D177" s="475">
        <f>SUM(D22:D32)+SUM(D44:D53)+SUM(D65:D72)+D75</f>
        <v>228141</v>
      </c>
      <c r="E177" s="475">
        <f>SUM(E22:E32)+SUM(E44:E53)+SUM(E65:E72)+E75</f>
        <v>226668</v>
      </c>
      <c r="F177" s="475">
        <f>SUM(F22:F32)+SUM(F44:F53)+SUM(F65:F72)+F75</f>
        <v>222171</v>
      </c>
      <c r="G177" s="475">
        <f>SUM(G22:G32)+SUM(G44:G53)+SUM(G65:G72)+G75</f>
        <v>227131</v>
      </c>
    </row>
    <row r="178" spans="1:7">
      <c r="A178" s="478" t="s">
        <v>36</v>
      </c>
      <c r="B178" s="477"/>
      <c r="C178" s="477" t="s">
        <v>35</v>
      </c>
      <c r="D178" s="475">
        <f>D78-D17-D20-D59-D63-D64</f>
        <v>233219</v>
      </c>
      <c r="E178" s="475">
        <f>E78-E17-E20-E59-E63-E64</f>
        <v>239732</v>
      </c>
      <c r="F178" s="475">
        <f>F78-F17-F20-F59-F63-F64</f>
        <v>236920</v>
      </c>
      <c r="G178" s="475">
        <f>G78-G17-G20-G59-G63-G64</f>
        <v>245374</v>
      </c>
    </row>
    <row r="179" spans="1:7">
      <c r="A179" s="478"/>
      <c r="B179" s="477"/>
      <c r="C179" s="477" t="s">
        <v>34</v>
      </c>
      <c r="D179" s="475">
        <f>D178+D170</f>
        <v>280531</v>
      </c>
      <c r="E179" s="475">
        <f>E178+E170</f>
        <v>281459</v>
      </c>
      <c r="F179" s="475">
        <f>F178+F170</f>
        <v>267763</v>
      </c>
      <c r="G179" s="475">
        <f>G178+G170</f>
        <v>270063</v>
      </c>
    </row>
    <row r="180" spans="1:7">
      <c r="A180" s="478" t="s">
        <v>33</v>
      </c>
      <c r="B180" s="477"/>
      <c r="C180" s="477" t="s">
        <v>32</v>
      </c>
      <c r="D180" s="475">
        <f>D38-D44+D8+D9+D10+D16-D33</f>
        <v>13708</v>
      </c>
      <c r="E180" s="475">
        <f>E38-E44+E8+E9+E10+E16-E33</f>
        <v>14020</v>
      </c>
      <c r="F180" s="475">
        <f>F38-F44+F8+F9+F10+F16-F33</f>
        <v>15342</v>
      </c>
      <c r="G180" s="475">
        <f>G38-G44+G8+G9+G10+G16-G33</f>
        <v>16844</v>
      </c>
    </row>
    <row r="181" spans="1:7" ht="27.6" customHeight="1">
      <c r="A181" s="474" t="s">
        <v>31</v>
      </c>
      <c r="B181" s="472"/>
      <c r="C181" s="472" t="s">
        <v>30</v>
      </c>
      <c r="D181" s="249">
        <f>D22+D23+D24+D25+D26+D29+SUM(D44:D47)+SUM(D49:D53)-D54+D32-D33+SUM(D65:D70)+D72</f>
        <v>226344</v>
      </c>
      <c r="E181" s="249">
        <f>E22+E23+E24+E25+E26+E29+SUM(E44:E47)+SUM(E49:E53)-E54+E32-E33+SUM(E65:E70)+E72</f>
        <v>225124</v>
      </c>
      <c r="F181" s="249">
        <f>F22+F23+F24+F25+F26+F29+SUM(F44:F47)+SUM(F49:F53)-F54+F32-F33+SUM(F65:F70)+F72</f>
        <v>221244</v>
      </c>
      <c r="G181" s="249">
        <f>G22+G23+G24+G25+G26+G29+SUM(G44:G47)+SUM(G49:G53)-G54+G32-G33+SUM(G65:G70)+G72</f>
        <v>226026</v>
      </c>
    </row>
    <row r="182" spans="1:7">
      <c r="A182" s="473" t="s">
        <v>29</v>
      </c>
      <c r="B182" s="472"/>
      <c r="C182" s="472" t="s">
        <v>28</v>
      </c>
      <c r="D182" s="249">
        <f>D181+D171</f>
        <v>244985</v>
      </c>
      <c r="E182" s="249">
        <f>E181+E171</f>
        <v>237401</v>
      </c>
      <c r="F182" s="249">
        <f>F181+F171</f>
        <v>227564</v>
      </c>
      <c r="G182" s="249">
        <f>G181+G171</f>
        <v>236385</v>
      </c>
    </row>
    <row r="183" spans="1:7">
      <c r="A183" s="473" t="s">
        <v>27</v>
      </c>
      <c r="B183" s="472"/>
      <c r="C183" s="472" t="s">
        <v>26</v>
      </c>
      <c r="D183" s="249">
        <f>D4+D5-D7+D38+D39+D40+D41+D43+D13-D16+D57+D58+D60+D62</f>
        <v>217886</v>
      </c>
      <c r="E183" s="249">
        <f>E4+E5-E7+E38+E39+E40+E41+E43+E13-E16+E57+E58+E60+E62</f>
        <v>224542</v>
      </c>
      <c r="F183" s="249">
        <f>F4+F5-F7+F38+F39+F40+F41+F43+F13-F16+F57+F58+F60+F62</f>
        <v>219284</v>
      </c>
      <c r="G183" s="249">
        <f>G4+G5-G7+G38+G39+G40+G41+G43+G13-G16+G57+G58+G60+G62</f>
        <v>225394</v>
      </c>
    </row>
    <row r="184" spans="1:7">
      <c r="A184" s="473" t="s">
        <v>25</v>
      </c>
      <c r="B184" s="472"/>
      <c r="C184" s="472" t="s">
        <v>24</v>
      </c>
      <c r="D184" s="249">
        <f>D183+D170</f>
        <v>265198</v>
      </c>
      <c r="E184" s="249">
        <f>E183+E170</f>
        <v>266269</v>
      </c>
      <c r="F184" s="249">
        <f>F183+F170</f>
        <v>250127</v>
      </c>
      <c r="G184" s="249">
        <f>G183+G170</f>
        <v>250083</v>
      </c>
    </row>
    <row r="185" spans="1:7">
      <c r="A185" s="473"/>
      <c r="B185" s="472"/>
      <c r="C185" s="472" t="s">
        <v>23</v>
      </c>
      <c r="D185" s="249">
        <f t="shared" ref="D185:G186" si="0">D181-D183</f>
        <v>8458</v>
      </c>
      <c r="E185" s="249">
        <f t="shared" si="0"/>
        <v>582</v>
      </c>
      <c r="F185" s="249">
        <f t="shared" si="0"/>
        <v>1960</v>
      </c>
      <c r="G185" s="249">
        <f t="shared" si="0"/>
        <v>632</v>
      </c>
    </row>
    <row r="186" spans="1:7">
      <c r="A186" s="473"/>
      <c r="B186" s="472"/>
      <c r="C186" s="472" t="s">
        <v>22</v>
      </c>
      <c r="D186" s="249">
        <f t="shared" si="0"/>
        <v>-20213</v>
      </c>
      <c r="E186" s="249">
        <f t="shared" si="0"/>
        <v>-28868</v>
      </c>
      <c r="F186" s="249">
        <f t="shared" si="0"/>
        <v>-22563</v>
      </c>
      <c r="G186" s="249">
        <f t="shared" si="0"/>
        <v>-13698</v>
      </c>
    </row>
  </sheetData>
  <sheetProtection selectLockedCells="1" sort="0" autoFilter="0" pivotTables="0"/>
  <mergeCells count="2">
    <mergeCell ref="A3:C3"/>
    <mergeCell ref="A81:C81"/>
  </mergeCells>
  <pageMargins left="0.23622047244094491" right="0.23622047244094491" top="0.74803149606299213" bottom="0.74803149606299213" header="0.31496062992125984" footer="0.31496062992125984"/>
  <pageSetup paperSize="9" orientation="landscape" r:id="rId1"/>
  <headerFooter alignWithMargins="0">
    <oddHeader>&amp;LFachgruppe für kantonale Finanzfragen (FkF)
Groupe d'études pour les finances cantonales
&amp;CKanton VD&amp;RZürich, 11.05.2015</oddHeader>
    <oddFooter>&amp;L&amp;F / &amp;A</oddFooter>
  </headerFooter>
  <rowBreaks count="2" manualBreakCount="2">
    <brk id="79" max="16383" man="1"/>
    <brk id="148" max="16383" man="1"/>
  </rowBreaks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17">
    <tabColor rgb="FF00B050"/>
  </sheetPr>
  <dimension ref="A1:AM186"/>
  <sheetViews>
    <sheetView zoomScale="115" zoomScaleNormal="115" workbookViewId="0">
      <selection activeCell="G10" sqref="G10"/>
    </sheetView>
  </sheetViews>
  <sheetFormatPr baseColWidth="10" defaultColWidth="11.42578125" defaultRowHeight="12.75"/>
  <cols>
    <col min="1" max="1" width="15.140625" style="470" customWidth="1"/>
    <col min="2" max="2" width="3.7109375" style="470" customWidth="1"/>
    <col min="3" max="3" width="45.7109375" style="470" customWidth="1"/>
    <col min="4" max="16384" width="11.42578125" style="470"/>
  </cols>
  <sheetData>
    <row r="1" spans="1:39" s="642" customFormat="1" ht="18" customHeight="1">
      <c r="A1" s="647" t="s">
        <v>258</v>
      </c>
      <c r="B1" s="671" t="s">
        <v>512</v>
      </c>
      <c r="C1" s="671" t="s">
        <v>511</v>
      </c>
      <c r="D1" s="643" t="s">
        <v>255</v>
      </c>
      <c r="E1" s="644" t="s">
        <v>254</v>
      </c>
      <c r="F1" s="643" t="s">
        <v>255</v>
      </c>
      <c r="G1" s="644" t="s">
        <v>254</v>
      </c>
      <c r="H1" s="608"/>
      <c r="I1" s="608"/>
      <c r="J1" s="608"/>
      <c r="K1" s="608"/>
      <c r="L1" s="608"/>
      <c r="M1" s="608"/>
      <c r="N1" s="608"/>
      <c r="O1" s="608"/>
      <c r="P1" s="608"/>
      <c r="Q1" s="608"/>
      <c r="R1" s="608"/>
      <c r="S1" s="608"/>
      <c r="T1" s="608"/>
      <c r="U1" s="608"/>
      <c r="V1" s="608"/>
      <c r="W1" s="608"/>
      <c r="X1" s="608"/>
      <c r="Y1" s="608"/>
      <c r="Z1" s="608"/>
      <c r="AA1" s="608"/>
      <c r="AB1" s="608"/>
      <c r="AC1" s="608"/>
      <c r="AD1" s="608"/>
      <c r="AE1" s="608"/>
      <c r="AF1" s="608"/>
      <c r="AG1" s="608"/>
      <c r="AH1" s="608"/>
      <c r="AI1" s="608"/>
      <c r="AJ1" s="608"/>
      <c r="AK1" s="608"/>
      <c r="AL1" s="608"/>
      <c r="AM1" s="608"/>
    </row>
    <row r="2" spans="1:39" s="636" customFormat="1" ht="15" customHeight="1">
      <c r="A2" s="641"/>
      <c r="B2" s="640"/>
      <c r="C2" s="639" t="s">
        <v>253</v>
      </c>
      <c r="D2" s="637">
        <v>2013</v>
      </c>
      <c r="E2" s="638">
        <v>2014</v>
      </c>
      <c r="F2" s="637">
        <v>2014</v>
      </c>
      <c r="G2" s="638">
        <v>2015</v>
      </c>
    </row>
    <row r="3" spans="1:39" ht="15" customHeight="1">
      <c r="A3" s="949" t="s">
        <v>252</v>
      </c>
      <c r="B3" s="950"/>
      <c r="C3" s="950"/>
      <c r="D3" s="512"/>
      <c r="E3" s="635" t="s">
        <v>251</v>
      </c>
      <c r="F3" s="516"/>
      <c r="G3" s="757" t="s">
        <v>251</v>
      </c>
    </row>
    <row r="4" spans="1:39" s="480" customFormat="1" ht="12.75" customHeight="1">
      <c r="A4" s="670">
        <v>30</v>
      </c>
      <c r="B4" s="669"/>
      <c r="C4" s="632" t="s">
        <v>250</v>
      </c>
      <c r="D4" s="573">
        <v>73546.8</v>
      </c>
      <c r="E4" s="453">
        <v>76049.899999999994</v>
      </c>
      <c r="F4" s="573">
        <v>74915.600000000006</v>
      </c>
      <c r="G4" s="453">
        <v>76471</v>
      </c>
    </row>
    <row r="5" spans="1:39" s="480" customFormat="1" ht="12.75" customHeight="1">
      <c r="A5" s="591">
        <v>31</v>
      </c>
      <c r="B5" s="587"/>
      <c r="C5" s="585" t="s">
        <v>249</v>
      </c>
      <c r="D5" s="317">
        <v>27286.1</v>
      </c>
      <c r="E5" s="361">
        <v>30373.599999999999</v>
      </c>
      <c r="F5" s="317">
        <v>29150.5</v>
      </c>
      <c r="G5" s="361">
        <v>28287</v>
      </c>
    </row>
    <row r="6" spans="1:39" s="480" customFormat="1" ht="12.75" customHeight="1">
      <c r="A6" s="630" t="s">
        <v>248</v>
      </c>
      <c r="B6" s="586"/>
      <c r="C6" s="616" t="s">
        <v>247</v>
      </c>
      <c r="D6" s="322">
        <v>5420.4</v>
      </c>
      <c r="E6" s="321">
        <v>5984.2</v>
      </c>
      <c r="F6" s="322">
        <v>5386.7</v>
      </c>
      <c r="G6" s="361">
        <v>4712</v>
      </c>
    </row>
    <row r="7" spans="1:39" s="480" customFormat="1" ht="12.75" customHeight="1">
      <c r="A7" s="630" t="s">
        <v>246</v>
      </c>
      <c r="B7" s="586"/>
      <c r="C7" s="616" t="s">
        <v>245</v>
      </c>
      <c r="D7" s="322">
        <v>410.7</v>
      </c>
      <c r="E7" s="321">
        <v>403</v>
      </c>
      <c r="F7" s="322">
        <v>1014.7</v>
      </c>
      <c r="G7" s="361">
        <v>406</v>
      </c>
    </row>
    <row r="8" spans="1:39" s="480" customFormat="1" ht="12.75" customHeight="1">
      <c r="A8" s="593">
        <v>330</v>
      </c>
      <c r="B8" s="587"/>
      <c r="C8" s="585" t="s">
        <v>244</v>
      </c>
      <c r="D8" s="317">
        <v>7465.9</v>
      </c>
      <c r="E8" s="316">
        <v>6946</v>
      </c>
      <c r="F8" s="317">
        <v>6916.6</v>
      </c>
      <c r="G8" s="361">
        <v>7253</v>
      </c>
    </row>
    <row r="9" spans="1:39" s="480" customFormat="1" ht="12.75" customHeight="1">
      <c r="A9" s="593">
        <v>332</v>
      </c>
      <c r="B9" s="587"/>
      <c r="C9" s="585" t="s">
        <v>243</v>
      </c>
      <c r="D9" s="317">
        <v>631.4</v>
      </c>
      <c r="E9" s="316">
        <v>824</v>
      </c>
      <c r="F9" s="317">
        <v>779</v>
      </c>
      <c r="G9" s="361">
        <v>1025</v>
      </c>
    </row>
    <row r="10" spans="1:39" s="480" customFormat="1" ht="12.75" customHeight="1">
      <c r="A10" s="593">
        <v>339</v>
      </c>
      <c r="B10" s="587"/>
      <c r="C10" s="585" t="s">
        <v>242</v>
      </c>
      <c r="D10" s="317">
        <v>0</v>
      </c>
      <c r="E10" s="316">
        <v>0</v>
      </c>
      <c r="F10" s="317">
        <v>0</v>
      </c>
      <c r="G10" s="361">
        <v>0</v>
      </c>
    </row>
    <row r="11" spans="1:39" s="480" customFormat="1" ht="12.75" customHeight="1">
      <c r="A11" s="591">
        <v>350</v>
      </c>
      <c r="B11" s="587"/>
      <c r="C11" s="585" t="s">
        <v>241</v>
      </c>
      <c r="D11" s="317">
        <v>17.7</v>
      </c>
      <c r="E11" s="316">
        <v>0</v>
      </c>
      <c r="F11" s="317">
        <v>123.7</v>
      </c>
      <c r="G11" s="361">
        <v>0</v>
      </c>
    </row>
    <row r="12" spans="1:39" s="579" customFormat="1">
      <c r="A12" s="597">
        <v>351</v>
      </c>
      <c r="B12" s="596"/>
      <c r="C12" s="589" t="s">
        <v>240</v>
      </c>
      <c r="D12" s="450">
        <v>826.3</v>
      </c>
      <c r="E12" s="400">
        <v>171.5</v>
      </c>
      <c r="F12" s="450">
        <v>742.9</v>
      </c>
      <c r="G12" s="361">
        <v>346</v>
      </c>
    </row>
    <row r="13" spans="1:39" s="480" customFormat="1" ht="12.75" customHeight="1">
      <c r="A13" s="591">
        <v>36</v>
      </c>
      <c r="B13" s="587"/>
      <c r="C13" s="585" t="s">
        <v>239</v>
      </c>
      <c r="D13" s="317">
        <v>203551.1</v>
      </c>
      <c r="E13" s="316">
        <v>199700.9</v>
      </c>
      <c r="F13" s="317">
        <v>198838.1</v>
      </c>
      <c r="G13" s="361">
        <v>204654</v>
      </c>
    </row>
    <row r="14" spans="1:39" s="588" customFormat="1">
      <c r="A14" s="629" t="s">
        <v>238</v>
      </c>
      <c r="B14" s="590"/>
      <c r="C14" s="627" t="s">
        <v>237</v>
      </c>
      <c r="D14" s="343">
        <v>24114.400000000001</v>
      </c>
      <c r="E14" s="342">
        <v>24802</v>
      </c>
      <c r="F14" s="343">
        <v>23606</v>
      </c>
      <c r="G14" s="361">
        <v>24126</v>
      </c>
    </row>
    <row r="15" spans="1:39" s="588" customFormat="1">
      <c r="A15" s="629" t="s">
        <v>236</v>
      </c>
      <c r="B15" s="590"/>
      <c r="C15" s="627" t="s">
        <v>235</v>
      </c>
      <c r="D15" s="343">
        <v>7274.8</v>
      </c>
      <c r="E15" s="342">
        <v>7922.7</v>
      </c>
      <c r="F15" s="343">
        <v>7170</v>
      </c>
      <c r="G15" s="361">
        <v>7648</v>
      </c>
    </row>
    <row r="16" spans="1:39" s="626" customFormat="1" ht="26.25" customHeight="1">
      <c r="A16" s="629" t="s">
        <v>234</v>
      </c>
      <c r="B16" s="668"/>
      <c r="C16" s="627" t="s">
        <v>233</v>
      </c>
      <c r="D16" s="442">
        <v>9729.5</v>
      </c>
      <c r="E16" s="443">
        <v>10595</v>
      </c>
      <c r="F16" s="442">
        <v>11549</v>
      </c>
      <c r="G16" s="442">
        <v>10180</v>
      </c>
    </row>
    <row r="17" spans="1:7" s="622" customFormat="1">
      <c r="A17" s="591">
        <v>37</v>
      </c>
      <c r="B17" s="587"/>
      <c r="C17" s="585" t="s">
        <v>211</v>
      </c>
      <c r="D17" s="362">
        <v>22307.5</v>
      </c>
      <c r="E17" s="430">
        <v>22219.5</v>
      </c>
      <c r="F17" s="362">
        <v>23894</v>
      </c>
      <c r="G17" s="361">
        <v>22654</v>
      </c>
    </row>
    <row r="18" spans="1:7" s="622" customFormat="1">
      <c r="A18" s="617" t="s">
        <v>232</v>
      </c>
      <c r="B18" s="586"/>
      <c r="C18" s="616" t="s">
        <v>231</v>
      </c>
      <c r="D18" s="362">
        <v>0</v>
      </c>
      <c r="E18" s="430">
        <v>0</v>
      </c>
      <c r="F18" s="362">
        <v>0</v>
      </c>
      <c r="G18" s="361">
        <v>0</v>
      </c>
    </row>
    <row r="19" spans="1:7" s="622" customFormat="1">
      <c r="A19" s="617" t="s">
        <v>230</v>
      </c>
      <c r="B19" s="586"/>
      <c r="C19" s="616" t="s">
        <v>229</v>
      </c>
      <c r="D19" s="362">
        <v>0</v>
      </c>
      <c r="E19" s="430">
        <v>0</v>
      </c>
      <c r="F19" s="362">
        <v>0</v>
      </c>
      <c r="G19" s="361">
        <v>0</v>
      </c>
    </row>
    <row r="20" spans="1:7" s="480" customFormat="1" ht="12.75" customHeight="1">
      <c r="A20" s="615">
        <v>39</v>
      </c>
      <c r="B20" s="614"/>
      <c r="C20" s="583" t="s">
        <v>228</v>
      </c>
      <c r="D20" s="355">
        <v>27201.8</v>
      </c>
      <c r="E20" s="372">
        <v>30954.7</v>
      </c>
      <c r="F20" s="355">
        <v>31786</v>
      </c>
      <c r="G20" s="354">
        <v>31451</v>
      </c>
    </row>
    <row r="21" spans="1:7" ht="12.75" customHeight="1">
      <c r="A21" s="578"/>
      <c r="B21" s="578"/>
      <c r="C21" s="576" t="s">
        <v>227</v>
      </c>
      <c r="D21" s="380">
        <f>D4+D5+SUM(D8:D13)+D17</f>
        <v>335632.8</v>
      </c>
      <c r="E21" s="380">
        <f>E4+E5+SUM(E8:E13)+E17</f>
        <v>336285.4</v>
      </c>
      <c r="F21" s="380">
        <f>F4+F5+SUM(F8:F13)+F17</f>
        <v>335360.40000000002</v>
      </c>
      <c r="G21" s="380">
        <f>G4+G5+SUM(G8:G13)+G17</f>
        <v>340690</v>
      </c>
    </row>
    <row r="22" spans="1:7" s="480" customFormat="1" ht="12.75" customHeight="1">
      <c r="A22" s="593" t="s">
        <v>226</v>
      </c>
      <c r="B22" s="587"/>
      <c r="C22" s="585" t="s">
        <v>225</v>
      </c>
      <c r="D22" s="318">
        <f>130279.9+13477.2</f>
        <v>143757.1</v>
      </c>
      <c r="E22" s="369">
        <f>139200+11650</f>
        <v>150850</v>
      </c>
      <c r="F22" s="317">
        <f>128097.8+12378.8</f>
        <v>140476.6</v>
      </c>
      <c r="G22" s="316">
        <f>128400+11700</f>
        <v>140100</v>
      </c>
    </row>
    <row r="23" spans="1:7" s="480" customFormat="1" ht="12.75" customHeight="1">
      <c r="A23" s="593" t="s">
        <v>224</v>
      </c>
      <c r="B23" s="587"/>
      <c r="C23" s="585" t="s">
        <v>223</v>
      </c>
      <c r="D23" s="318">
        <f>20308.2+11053.8</f>
        <v>31362</v>
      </c>
      <c r="E23" s="369">
        <f>16000+10900</f>
        <v>26900</v>
      </c>
      <c r="F23" s="317">
        <f>18401.7+11273</f>
        <v>29674.7</v>
      </c>
      <c r="G23" s="316">
        <f>16500+11473</f>
        <v>27973</v>
      </c>
    </row>
    <row r="24" spans="1:7" s="621" customFormat="1" ht="12.75" customHeight="1">
      <c r="A24" s="591">
        <v>41</v>
      </c>
      <c r="B24" s="587"/>
      <c r="C24" s="585" t="s">
        <v>222</v>
      </c>
      <c r="D24" s="318">
        <v>12102.9</v>
      </c>
      <c r="E24" s="369">
        <v>11960.6</v>
      </c>
      <c r="F24" s="317">
        <v>8258.1</v>
      </c>
      <c r="G24" s="316">
        <v>10541</v>
      </c>
    </row>
    <row r="25" spans="1:7" s="480" customFormat="1" ht="12.75" customHeight="1">
      <c r="A25" s="620">
        <v>42</v>
      </c>
      <c r="B25" s="619"/>
      <c r="C25" s="585" t="s">
        <v>221</v>
      </c>
      <c r="D25" s="318">
        <v>18035.900000000001</v>
      </c>
      <c r="E25" s="369">
        <v>20655.599999999999</v>
      </c>
      <c r="F25" s="317">
        <v>19089.7</v>
      </c>
      <c r="G25" s="316">
        <v>19221</v>
      </c>
    </row>
    <row r="26" spans="1:7" s="618" customFormat="1" ht="12.75" customHeight="1">
      <c r="A26" s="597">
        <v>430</v>
      </c>
      <c r="B26" s="587"/>
      <c r="C26" s="585" t="s">
        <v>220</v>
      </c>
      <c r="D26" s="433">
        <v>0.7</v>
      </c>
      <c r="E26" s="432">
        <v>6</v>
      </c>
      <c r="F26" s="431">
        <v>0</v>
      </c>
      <c r="G26" s="430">
        <v>6</v>
      </c>
    </row>
    <row r="27" spans="1:7" s="618" customFormat="1" ht="12.75" customHeight="1">
      <c r="A27" s="597">
        <v>431</v>
      </c>
      <c r="B27" s="587"/>
      <c r="C27" s="585" t="s">
        <v>219</v>
      </c>
      <c r="D27" s="433">
        <v>47.1</v>
      </c>
      <c r="E27" s="432">
        <v>52</v>
      </c>
      <c r="F27" s="431">
        <v>13.1</v>
      </c>
      <c r="G27" s="430">
        <v>45</v>
      </c>
    </row>
    <row r="28" spans="1:7" s="618" customFormat="1" ht="12.75" customHeight="1">
      <c r="A28" s="597">
        <v>432</v>
      </c>
      <c r="B28" s="587"/>
      <c r="C28" s="585" t="s">
        <v>218</v>
      </c>
      <c r="D28" s="433">
        <v>0</v>
      </c>
      <c r="E28" s="432">
        <v>0</v>
      </c>
      <c r="F28" s="431">
        <v>0</v>
      </c>
      <c r="G28" s="430">
        <v>0</v>
      </c>
    </row>
    <row r="29" spans="1:7" s="618" customFormat="1" ht="12.75" customHeight="1">
      <c r="A29" s="597">
        <v>439</v>
      </c>
      <c r="B29" s="587"/>
      <c r="C29" s="585" t="s">
        <v>217</v>
      </c>
      <c r="D29" s="433">
        <v>0</v>
      </c>
      <c r="E29" s="432">
        <v>0</v>
      </c>
      <c r="F29" s="431">
        <v>0</v>
      </c>
      <c r="G29" s="430">
        <v>0</v>
      </c>
    </row>
    <row r="30" spans="1:7" s="480" customFormat="1" ht="25.5">
      <c r="A30" s="806">
        <v>450</v>
      </c>
      <c r="B30" s="822"/>
      <c r="C30" s="821" t="s">
        <v>216</v>
      </c>
      <c r="D30" s="824">
        <v>180.6</v>
      </c>
      <c r="E30" s="823">
        <v>152.69999999999999</v>
      </c>
      <c r="F30" s="824">
        <v>21.6</v>
      </c>
      <c r="G30" s="823">
        <v>147</v>
      </c>
    </row>
    <row r="31" spans="1:7" s="579" customFormat="1">
      <c r="A31" s="806">
        <v>451</v>
      </c>
      <c r="B31" s="822"/>
      <c r="C31" s="821" t="s">
        <v>215</v>
      </c>
      <c r="D31" s="820">
        <v>169.6</v>
      </c>
      <c r="E31" s="819">
        <v>229.2</v>
      </c>
      <c r="F31" s="818">
        <v>408.7</v>
      </c>
      <c r="G31" s="817">
        <v>39</v>
      </c>
    </row>
    <row r="32" spans="1:7" s="480" customFormat="1" ht="12.75" customHeight="1">
      <c r="A32" s="591">
        <v>46</v>
      </c>
      <c r="B32" s="587"/>
      <c r="C32" s="585" t="s">
        <v>214</v>
      </c>
      <c r="D32" s="318">
        <v>86381.6</v>
      </c>
      <c r="E32" s="369">
        <v>84568</v>
      </c>
      <c r="F32" s="317">
        <v>94692.7</v>
      </c>
      <c r="G32" s="316">
        <v>87520</v>
      </c>
    </row>
    <row r="33" spans="1:7" s="579" customFormat="1" ht="12.75" customHeight="1">
      <c r="A33" s="617" t="s">
        <v>213</v>
      </c>
      <c r="B33" s="586"/>
      <c r="C33" s="616" t="s">
        <v>212</v>
      </c>
      <c r="D33" s="318">
        <v>0</v>
      </c>
      <c r="E33" s="425">
        <v>0</v>
      </c>
      <c r="F33" s="317">
        <v>0</v>
      </c>
      <c r="G33" s="321">
        <v>0</v>
      </c>
    </row>
    <row r="34" spans="1:7" s="480" customFormat="1" ht="15" customHeight="1">
      <c r="A34" s="591">
        <v>47</v>
      </c>
      <c r="B34" s="587"/>
      <c r="C34" s="585" t="s">
        <v>211</v>
      </c>
      <c r="D34" s="318">
        <v>22307.5</v>
      </c>
      <c r="E34" s="430">
        <v>22219.5</v>
      </c>
      <c r="F34" s="317">
        <v>23894</v>
      </c>
      <c r="G34" s="430">
        <v>22654</v>
      </c>
    </row>
    <row r="35" spans="1:7" s="480" customFormat="1" ht="15" customHeight="1">
      <c r="A35" s="615">
        <v>49</v>
      </c>
      <c r="B35" s="614"/>
      <c r="C35" s="583" t="s">
        <v>210</v>
      </c>
      <c r="D35" s="357">
        <v>27201.8</v>
      </c>
      <c r="E35" s="372">
        <v>30954.7</v>
      </c>
      <c r="F35" s="355">
        <v>31786</v>
      </c>
      <c r="G35" s="372">
        <v>31451</v>
      </c>
    </row>
    <row r="36" spans="1:7" ht="13.5" customHeight="1">
      <c r="A36" s="578"/>
      <c r="B36" s="606"/>
      <c r="C36" s="576" t="s">
        <v>209</v>
      </c>
      <c r="D36" s="380">
        <f>D22+D23+D24+D25+D26+D27+D28+D29+D30+D31+D32+D34</f>
        <v>314345</v>
      </c>
      <c r="E36" s="380">
        <f>E22+E23+E24+E25+E26+E27+E28+E29+E30+E31+E32+E34</f>
        <v>317593.60000000003</v>
      </c>
      <c r="F36" s="380">
        <f>F22+F23+F24+F25+F26+F27+F28+F29+F30+F31+F32+F34</f>
        <v>316529.20000000007</v>
      </c>
      <c r="G36" s="380">
        <f>G22+G23+G24+G25+G26+G27+G28+G29+G30+G31+G32+G34</f>
        <v>308246</v>
      </c>
    </row>
    <row r="37" spans="1:7" s="667" customFormat="1" ht="15" customHeight="1">
      <c r="A37" s="578"/>
      <c r="B37" s="606"/>
      <c r="C37" s="576" t="s">
        <v>208</v>
      </c>
      <c r="D37" s="380">
        <f>D36-D21</f>
        <v>-21287.799999999988</v>
      </c>
      <c r="E37" s="380">
        <f>E36-E21</f>
        <v>-18691.799999999988</v>
      </c>
      <c r="F37" s="380">
        <f>F36-F21</f>
        <v>-18831.199999999953</v>
      </c>
      <c r="G37" s="380">
        <f>G36-G21</f>
        <v>-32444</v>
      </c>
    </row>
    <row r="38" spans="1:7" s="579" customFormat="1" ht="15" customHeight="1">
      <c r="A38" s="593">
        <v>340</v>
      </c>
      <c r="B38" s="587"/>
      <c r="C38" s="585" t="s">
        <v>207</v>
      </c>
      <c r="D38" s="364">
        <v>2842.7</v>
      </c>
      <c r="E38" s="369">
        <v>2815.2</v>
      </c>
      <c r="F38" s="362">
        <v>2870.5</v>
      </c>
      <c r="G38" s="316">
        <v>2887</v>
      </c>
    </row>
    <row r="39" spans="1:7" s="579" customFormat="1" ht="15" customHeight="1">
      <c r="A39" s="593">
        <v>341</v>
      </c>
      <c r="B39" s="587"/>
      <c r="C39" s="585" t="s">
        <v>206</v>
      </c>
      <c r="D39" s="318">
        <v>0</v>
      </c>
      <c r="E39" s="369">
        <v>0</v>
      </c>
      <c r="F39" s="317">
        <v>0</v>
      </c>
      <c r="G39" s="316">
        <v>0</v>
      </c>
    </row>
    <row r="40" spans="1:7" s="579" customFormat="1" ht="15" customHeight="1">
      <c r="A40" s="593">
        <v>342</v>
      </c>
      <c r="B40" s="587"/>
      <c r="C40" s="585" t="s">
        <v>205</v>
      </c>
      <c r="D40" s="318">
        <v>0</v>
      </c>
      <c r="E40" s="369">
        <v>0</v>
      </c>
      <c r="F40" s="317">
        <v>0</v>
      </c>
      <c r="G40" s="316">
        <v>0</v>
      </c>
    </row>
    <row r="41" spans="1:7" s="579" customFormat="1" ht="15" customHeight="1">
      <c r="A41" s="593">
        <v>343</v>
      </c>
      <c r="B41" s="587"/>
      <c r="C41" s="585" t="s">
        <v>204</v>
      </c>
      <c r="D41" s="318">
        <v>23.3</v>
      </c>
      <c r="E41" s="369">
        <v>14</v>
      </c>
      <c r="F41" s="317">
        <v>14.2</v>
      </c>
      <c r="G41" s="316">
        <v>17</v>
      </c>
    </row>
    <row r="42" spans="1:7" s="579" customFormat="1" ht="15" customHeight="1">
      <c r="A42" s="593">
        <v>344</v>
      </c>
      <c r="B42" s="587"/>
      <c r="C42" s="585" t="s">
        <v>198</v>
      </c>
      <c r="D42" s="318">
        <v>0</v>
      </c>
      <c r="E42" s="369">
        <v>0</v>
      </c>
      <c r="F42" s="317">
        <v>0</v>
      </c>
      <c r="G42" s="316">
        <v>0</v>
      </c>
    </row>
    <row r="43" spans="1:7" s="579" customFormat="1" ht="15" customHeight="1">
      <c r="A43" s="593">
        <v>349</v>
      </c>
      <c r="B43" s="587"/>
      <c r="C43" s="585" t="s">
        <v>203</v>
      </c>
      <c r="D43" s="318">
        <v>0</v>
      </c>
      <c r="E43" s="369">
        <v>0</v>
      </c>
      <c r="F43" s="317">
        <v>0</v>
      </c>
      <c r="G43" s="316">
        <v>0</v>
      </c>
    </row>
    <row r="44" spans="1:7" s="480" customFormat="1" ht="15" customHeight="1">
      <c r="A44" s="591">
        <v>440</v>
      </c>
      <c r="B44" s="587"/>
      <c r="C44" s="585" t="s">
        <v>202</v>
      </c>
      <c r="D44" s="364">
        <v>1943.3</v>
      </c>
      <c r="E44" s="369">
        <v>1985.7</v>
      </c>
      <c r="F44" s="362">
        <v>2066.1999999999998</v>
      </c>
      <c r="G44" s="316">
        <v>1779</v>
      </c>
    </row>
    <row r="45" spans="1:7" s="480" customFormat="1" ht="15" customHeight="1">
      <c r="A45" s="591">
        <v>441</v>
      </c>
      <c r="B45" s="587"/>
      <c r="C45" s="585" t="s">
        <v>201</v>
      </c>
      <c r="D45" s="364">
        <v>0</v>
      </c>
      <c r="E45" s="369">
        <v>0</v>
      </c>
      <c r="F45" s="362">
        <v>35.200000000000003</v>
      </c>
      <c r="G45" s="316">
        <v>0</v>
      </c>
    </row>
    <row r="46" spans="1:7" s="480" customFormat="1" ht="15" customHeight="1">
      <c r="A46" s="591">
        <v>442</v>
      </c>
      <c r="B46" s="587"/>
      <c r="C46" s="585" t="s">
        <v>200</v>
      </c>
      <c r="D46" s="364">
        <v>3.7</v>
      </c>
      <c r="E46" s="369">
        <v>3.5</v>
      </c>
      <c r="F46" s="362">
        <v>3.7</v>
      </c>
      <c r="G46" s="316">
        <v>4</v>
      </c>
    </row>
    <row r="47" spans="1:7" s="480" customFormat="1" ht="15" customHeight="1">
      <c r="A47" s="591">
        <v>443</v>
      </c>
      <c r="B47" s="587"/>
      <c r="C47" s="585" t="s">
        <v>199</v>
      </c>
      <c r="D47" s="364">
        <v>174.1</v>
      </c>
      <c r="E47" s="369">
        <v>170</v>
      </c>
      <c r="F47" s="362">
        <v>146.80000000000001</v>
      </c>
      <c r="G47" s="316">
        <v>120</v>
      </c>
    </row>
    <row r="48" spans="1:7" s="480" customFormat="1" ht="15" customHeight="1">
      <c r="A48" s="591">
        <v>444</v>
      </c>
      <c r="B48" s="587"/>
      <c r="C48" s="585" t="s">
        <v>198</v>
      </c>
      <c r="D48" s="364">
        <v>566</v>
      </c>
      <c r="E48" s="369">
        <v>0</v>
      </c>
      <c r="F48" s="362">
        <v>10.9</v>
      </c>
      <c r="G48" s="316">
        <v>0</v>
      </c>
    </row>
    <row r="49" spans="1:7" s="480" customFormat="1" ht="15" customHeight="1">
      <c r="A49" s="591">
        <v>445</v>
      </c>
      <c r="B49" s="587"/>
      <c r="C49" s="585" t="s">
        <v>197</v>
      </c>
      <c r="D49" s="364">
        <v>38.5</v>
      </c>
      <c r="E49" s="369">
        <v>40</v>
      </c>
      <c r="F49" s="362">
        <v>120.1</v>
      </c>
      <c r="G49" s="316">
        <v>55</v>
      </c>
    </row>
    <row r="50" spans="1:7" s="480" customFormat="1" ht="15" customHeight="1">
      <c r="A50" s="591">
        <v>446</v>
      </c>
      <c r="B50" s="587"/>
      <c r="C50" s="585" t="s">
        <v>196</v>
      </c>
      <c r="D50" s="364">
        <v>13315.5</v>
      </c>
      <c r="E50" s="369">
        <v>14547.5</v>
      </c>
      <c r="F50" s="362">
        <v>14616.5</v>
      </c>
      <c r="G50" s="316">
        <v>14632</v>
      </c>
    </row>
    <row r="51" spans="1:7" s="480" customFormat="1" ht="15" customHeight="1">
      <c r="A51" s="591">
        <v>447</v>
      </c>
      <c r="B51" s="587"/>
      <c r="C51" s="585" t="s">
        <v>195</v>
      </c>
      <c r="D51" s="364">
        <v>2185.6999999999998</v>
      </c>
      <c r="E51" s="369">
        <v>2066</v>
      </c>
      <c r="F51" s="362">
        <v>2153.5</v>
      </c>
      <c r="G51" s="316">
        <v>1999</v>
      </c>
    </row>
    <row r="52" spans="1:7" s="480" customFormat="1" ht="15" customHeight="1">
      <c r="A52" s="591">
        <v>448</v>
      </c>
      <c r="B52" s="587"/>
      <c r="C52" s="585" t="s">
        <v>194</v>
      </c>
      <c r="D52" s="364">
        <v>0</v>
      </c>
      <c r="E52" s="369">
        <v>0</v>
      </c>
      <c r="F52" s="362">
        <v>0</v>
      </c>
      <c r="G52" s="316">
        <v>0</v>
      </c>
    </row>
    <row r="53" spans="1:7" s="480" customFormat="1" ht="15" customHeight="1">
      <c r="A53" s="591">
        <v>449</v>
      </c>
      <c r="B53" s="587"/>
      <c r="C53" s="585" t="s">
        <v>193</v>
      </c>
      <c r="D53" s="364">
        <v>0</v>
      </c>
      <c r="E53" s="369">
        <v>0</v>
      </c>
      <c r="F53" s="362">
        <v>383.6</v>
      </c>
      <c r="G53" s="316">
        <v>0</v>
      </c>
    </row>
    <row r="54" spans="1:7" s="579" customFormat="1" ht="13.5" customHeight="1">
      <c r="A54" s="607" t="s">
        <v>192</v>
      </c>
      <c r="B54" s="580"/>
      <c r="C54" s="580" t="s">
        <v>191</v>
      </c>
      <c r="D54" s="419">
        <v>0</v>
      </c>
      <c r="E54" s="417">
        <v>0</v>
      </c>
      <c r="F54" s="418">
        <v>383.6</v>
      </c>
      <c r="G54" s="299">
        <v>0</v>
      </c>
    </row>
    <row r="55" spans="1:7" ht="15" customHeight="1">
      <c r="A55" s="606"/>
      <c r="B55" s="606"/>
      <c r="C55" s="576" t="s">
        <v>55</v>
      </c>
      <c r="D55" s="380">
        <f>SUM(D44:D53)-SUM(D38:D43)</f>
        <v>15360.8</v>
      </c>
      <c r="E55" s="380">
        <f>SUM(E44:E53)-SUM(E38:E43)</f>
        <v>15983.5</v>
      </c>
      <c r="F55" s="380">
        <f>SUM(F44:F53)-SUM(F38:F43)</f>
        <v>16651.8</v>
      </c>
      <c r="G55" s="380">
        <f>SUM(G44:G53)-SUM(G38:G43)</f>
        <v>15685</v>
      </c>
    </row>
    <row r="56" spans="1:7" ht="14.25" customHeight="1">
      <c r="A56" s="606"/>
      <c r="B56" s="606"/>
      <c r="C56" s="576" t="s">
        <v>190</v>
      </c>
      <c r="D56" s="380">
        <f>D55+D37</f>
        <v>-5926.9999999999891</v>
      </c>
      <c r="E56" s="380">
        <f>E55+E37</f>
        <v>-2708.2999999999884</v>
      </c>
      <c r="F56" s="380">
        <f>F55+F37</f>
        <v>-2179.3999999999542</v>
      </c>
      <c r="G56" s="380">
        <f>G55+G37</f>
        <v>-16759</v>
      </c>
    </row>
    <row r="57" spans="1:7" s="480" customFormat="1" ht="15.75" customHeight="1">
      <c r="A57" s="605">
        <v>380</v>
      </c>
      <c r="B57" s="604"/>
      <c r="C57" s="603" t="s">
        <v>189</v>
      </c>
      <c r="D57" s="569">
        <v>0</v>
      </c>
      <c r="E57" s="737">
        <v>0</v>
      </c>
      <c r="F57" s="602">
        <v>0</v>
      </c>
      <c r="G57" s="601">
        <v>0</v>
      </c>
    </row>
    <row r="58" spans="1:7" s="480" customFormat="1" ht="15.75" customHeight="1">
      <c r="A58" s="605">
        <v>381</v>
      </c>
      <c r="B58" s="604"/>
      <c r="C58" s="603" t="s">
        <v>188</v>
      </c>
      <c r="D58" s="569">
        <v>0</v>
      </c>
      <c r="E58" s="737">
        <v>0</v>
      </c>
      <c r="F58" s="602">
        <v>0</v>
      </c>
      <c r="G58" s="601">
        <v>0</v>
      </c>
    </row>
    <row r="59" spans="1:7" s="579" customFormat="1" ht="25.5">
      <c r="A59" s="597">
        <v>383</v>
      </c>
      <c r="B59" s="596"/>
      <c r="C59" s="589" t="s">
        <v>187</v>
      </c>
      <c r="D59" s="410">
        <v>0</v>
      </c>
      <c r="E59" s="394">
        <v>0</v>
      </c>
      <c r="F59" s="409">
        <v>0</v>
      </c>
      <c r="G59" s="342">
        <v>0</v>
      </c>
    </row>
    <row r="60" spans="1:7" s="579" customFormat="1">
      <c r="A60" s="597">
        <v>3840</v>
      </c>
      <c r="B60" s="596"/>
      <c r="C60" s="589" t="s">
        <v>186</v>
      </c>
      <c r="D60" s="403">
        <v>0</v>
      </c>
      <c r="E60" s="402">
        <v>0</v>
      </c>
      <c r="F60" s="401">
        <v>0</v>
      </c>
      <c r="G60" s="400">
        <v>0</v>
      </c>
    </row>
    <row r="61" spans="1:7" s="579" customFormat="1">
      <c r="A61" s="597">
        <v>3841</v>
      </c>
      <c r="B61" s="596"/>
      <c r="C61" s="589" t="s">
        <v>185</v>
      </c>
      <c r="D61" s="403">
        <v>0</v>
      </c>
      <c r="E61" s="402">
        <v>0</v>
      </c>
      <c r="F61" s="401">
        <v>0</v>
      </c>
      <c r="G61" s="400">
        <v>0</v>
      </c>
    </row>
    <row r="62" spans="1:7" s="579" customFormat="1">
      <c r="A62" s="600">
        <v>386</v>
      </c>
      <c r="B62" s="599"/>
      <c r="C62" s="598" t="s">
        <v>184</v>
      </c>
      <c r="D62" s="403">
        <v>0</v>
      </c>
      <c r="E62" s="402">
        <v>0</v>
      </c>
      <c r="F62" s="401">
        <v>0</v>
      </c>
      <c r="G62" s="400">
        <v>0</v>
      </c>
    </row>
    <row r="63" spans="1:7" s="579" customFormat="1" ht="25.5">
      <c r="A63" s="597">
        <v>387</v>
      </c>
      <c r="B63" s="596"/>
      <c r="C63" s="589" t="s">
        <v>183</v>
      </c>
      <c r="D63" s="403">
        <v>0</v>
      </c>
      <c r="E63" s="402">
        <v>0</v>
      </c>
      <c r="F63" s="401">
        <v>0</v>
      </c>
      <c r="G63" s="400">
        <v>0</v>
      </c>
    </row>
    <row r="64" spans="1:7" s="579" customFormat="1">
      <c r="A64" s="593">
        <v>389</v>
      </c>
      <c r="B64" s="592"/>
      <c r="C64" s="585" t="s">
        <v>182</v>
      </c>
      <c r="D64" s="318">
        <v>0</v>
      </c>
      <c r="E64" s="369">
        <v>0</v>
      </c>
      <c r="F64" s="317">
        <v>0</v>
      </c>
      <c r="G64" s="316">
        <v>0</v>
      </c>
    </row>
    <row r="65" spans="1:7" s="480" customFormat="1">
      <c r="A65" s="593" t="s">
        <v>181</v>
      </c>
      <c r="B65" s="587"/>
      <c r="C65" s="585" t="s">
        <v>180</v>
      </c>
      <c r="D65" s="318">
        <v>0</v>
      </c>
      <c r="E65" s="369">
        <v>0</v>
      </c>
      <c r="F65" s="317">
        <v>0</v>
      </c>
      <c r="G65" s="316">
        <v>0</v>
      </c>
    </row>
    <row r="66" spans="1:7" s="588" customFormat="1">
      <c r="A66" s="666" t="s">
        <v>179</v>
      </c>
      <c r="B66" s="590"/>
      <c r="C66" s="589" t="s">
        <v>178</v>
      </c>
      <c r="D66" s="344">
        <v>0</v>
      </c>
      <c r="E66" s="394">
        <v>0</v>
      </c>
      <c r="F66" s="343">
        <v>0</v>
      </c>
      <c r="G66" s="342">
        <v>0</v>
      </c>
    </row>
    <row r="67" spans="1:7" s="480" customFormat="1">
      <c r="A67" s="584">
        <v>481</v>
      </c>
      <c r="B67" s="587"/>
      <c r="C67" s="585" t="s">
        <v>177</v>
      </c>
      <c r="D67" s="318">
        <v>0</v>
      </c>
      <c r="E67" s="369">
        <v>0</v>
      </c>
      <c r="F67" s="317">
        <v>0</v>
      </c>
      <c r="G67" s="316">
        <v>0</v>
      </c>
    </row>
    <row r="68" spans="1:7" s="480" customFormat="1">
      <c r="A68" s="584">
        <v>482</v>
      </c>
      <c r="B68" s="587"/>
      <c r="C68" s="585" t="s">
        <v>176</v>
      </c>
      <c r="D68" s="318">
        <v>0</v>
      </c>
      <c r="E68" s="369">
        <v>0</v>
      </c>
      <c r="F68" s="317">
        <v>0</v>
      </c>
      <c r="G68" s="316">
        <v>0</v>
      </c>
    </row>
    <row r="69" spans="1:7" s="480" customFormat="1">
      <c r="A69" s="584">
        <v>483</v>
      </c>
      <c r="B69" s="587"/>
      <c r="C69" s="585" t="s">
        <v>175</v>
      </c>
      <c r="D69" s="318">
        <v>0</v>
      </c>
      <c r="E69" s="369">
        <v>0</v>
      </c>
      <c r="F69" s="317">
        <v>0</v>
      </c>
      <c r="G69" s="316">
        <v>0</v>
      </c>
    </row>
    <row r="70" spans="1:7" s="480" customFormat="1">
      <c r="A70" s="584">
        <v>484</v>
      </c>
      <c r="B70" s="587"/>
      <c r="C70" s="585" t="s">
        <v>174</v>
      </c>
      <c r="D70" s="318">
        <v>0</v>
      </c>
      <c r="E70" s="369">
        <v>0</v>
      </c>
      <c r="F70" s="317">
        <v>0</v>
      </c>
      <c r="G70" s="316">
        <v>0</v>
      </c>
    </row>
    <row r="71" spans="1:7" s="480" customFormat="1">
      <c r="A71" s="584">
        <v>485</v>
      </c>
      <c r="B71" s="587"/>
      <c r="C71" s="585" t="s">
        <v>173</v>
      </c>
      <c r="D71" s="318">
        <v>0</v>
      </c>
      <c r="E71" s="369">
        <v>0</v>
      </c>
      <c r="F71" s="317">
        <v>0</v>
      </c>
      <c r="G71" s="316">
        <v>0</v>
      </c>
    </row>
    <row r="72" spans="1:7" s="480" customFormat="1">
      <c r="A72" s="584">
        <v>486</v>
      </c>
      <c r="B72" s="587"/>
      <c r="C72" s="585" t="s">
        <v>172</v>
      </c>
      <c r="D72" s="318">
        <v>0</v>
      </c>
      <c r="E72" s="369">
        <v>0</v>
      </c>
      <c r="F72" s="317">
        <v>0</v>
      </c>
      <c r="G72" s="316">
        <v>0</v>
      </c>
    </row>
    <row r="73" spans="1:7" s="579" customFormat="1">
      <c r="A73" s="584">
        <v>487</v>
      </c>
      <c r="B73" s="586"/>
      <c r="C73" s="585" t="s">
        <v>171</v>
      </c>
      <c r="D73" s="364">
        <v>0</v>
      </c>
      <c r="E73" s="369">
        <v>0</v>
      </c>
      <c r="F73" s="362">
        <v>0</v>
      </c>
      <c r="G73" s="316">
        <v>0</v>
      </c>
    </row>
    <row r="74" spans="1:7" s="579" customFormat="1">
      <c r="A74" s="584">
        <v>489</v>
      </c>
      <c r="B74" s="581"/>
      <c r="C74" s="583" t="s">
        <v>170</v>
      </c>
      <c r="D74" s="364">
        <v>4748</v>
      </c>
      <c r="E74" s="369">
        <v>800</v>
      </c>
      <c r="F74" s="362">
        <v>800</v>
      </c>
      <c r="G74" s="316">
        <v>5000</v>
      </c>
    </row>
    <row r="75" spans="1:7" s="579" customFormat="1">
      <c r="A75" s="582" t="s">
        <v>169</v>
      </c>
      <c r="B75" s="581"/>
      <c r="C75" s="580" t="s">
        <v>168</v>
      </c>
      <c r="D75" s="318">
        <v>0</v>
      </c>
      <c r="E75" s="369"/>
      <c r="F75" s="317">
        <v>0</v>
      </c>
      <c r="G75" s="316"/>
    </row>
    <row r="76" spans="1:7">
      <c r="A76" s="578"/>
      <c r="B76" s="578"/>
      <c r="C76" s="576" t="s">
        <v>167</v>
      </c>
      <c r="D76" s="380">
        <f>SUM(D65:D74)-SUM(D57:D64)</f>
        <v>4748</v>
      </c>
      <c r="E76" s="380">
        <f>SUM(E65:E74)-SUM(E57:E64)</f>
        <v>800</v>
      </c>
      <c r="F76" s="380">
        <f>SUM(F65:F74)-SUM(F57:F64)</f>
        <v>800</v>
      </c>
      <c r="G76" s="380">
        <f>SUM(G65:G74)-SUM(G57:G64)</f>
        <v>5000</v>
      </c>
    </row>
    <row r="77" spans="1:7">
      <c r="A77" s="577"/>
      <c r="B77" s="577"/>
      <c r="C77" s="576" t="s">
        <v>166</v>
      </c>
      <c r="D77" s="380">
        <f>D56+D76</f>
        <v>-1178.9999999999891</v>
      </c>
      <c r="E77" s="380">
        <f>E56+E76</f>
        <v>-1908.2999999999884</v>
      </c>
      <c r="F77" s="380">
        <f>F56+F76</f>
        <v>-1379.3999999999542</v>
      </c>
      <c r="G77" s="380">
        <f>G56+G76</f>
        <v>-11759</v>
      </c>
    </row>
    <row r="78" spans="1:7">
      <c r="A78" s="575">
        <v>3</v>
      </c>
      <c r="B78" s="575"/>
      <c r="C78" s="574" t="s">
        <v>165</v>
      </c>
      <c r="D78" s="377">
        <f>D20+D21+SUM(D38:D43)+SUM(D57:D64)</f>
        <v>365700.6</v>
      </c>
      <c r="E78" s="377">
        <f>E20+E21+SUM(E38:E43)+SUM(E57:E64)</f>
        <v>370069.30000000005</v>
      </c>
      <c r="F78" s="377">
        <f>F20+F21+SUM(F38:F43)+SUM(F57:F64)</f>
        <v>370031.10000000003</v>
      </c>
      <c r="G78" s="377">
        <f>G20+G21+SUM(G38:G43)+SUM(G57:G64)</f>
        <v>375045</v>
      </c>
    </row>
    <row r="79" spans="1:7">
      <c r="A79" s="575">
        <v>4</v>
      </c>
      <c r="B79" s="575"/>
      <c r="C79" s="574" t="s">
        <v>164</v>
      </c>
      <c r="D79" s="377">
        <f>D35+D36+SUM(D44:D53)+SUM(D65:D74)</f>
        <v>364521.6</v>
      </c>
      <c r="E79" s="377">
        <f>E35+E36+SUM(E44:E53)+SUM(E65:E74)</f>
        <v>368161.00000000006</v>
      </c>
      <c r="F79" s="377">
        <f>F35+F36+SUM(F44:F53)+SUM(F65:F74)</f>
        <v>368651.70000000007</v>
      </c>
      <c r="G79" s="377">
        <f>G35+G36+SUM(G44:G53)+SUM(G65:G74)</f>
        <v>363286</v>
      </c>
    </row>
    <row r="80" spans="1:7">
      <c r="A80" s="534"/>
      <c r="B80" s="534"/>
      <c r="C80" s="533"/>
      <c r="D80" s="260"/>
      <c r="E80" s="260"/>
      <c r="F80" s="260"/>
      <c r="G80" s="260"/>
    </row>
    <row r="81" spans="1:7">
      <c r="A81" s="951" t="s">
        <v>163</v>
      </c>
      <c r="B81" s="952"/>
      <c r="C81" s="952"/>
      <c r="D81" s="376"/>
      <c r="E81" s="375"/>
      <c r="F81" s="376"/>
      <c r="G81" s="375"/>
    </row>
    <row r="82" spans="1:7" s="480" customFormat="1">
      <c r="A82" s="567">
        <v>50</v>
      </c>
      <c r="B82" s="565"/>
      <c r="C82" s="565" t="s">
        <v>162</v>
      </c>
      <c r="D82" s="318">
        <v>11933.5</v>
      </c>
      <c r="E82" s="369">
        <v>10419</v>
      </c>
      <c r="F82" s="317">
        <v>10090.700000000001</v>
      </c>
      <c r="G82" s="316">
        <v>10849</v>
      </c>
    </row>
    <row r="83" spans="1:7" s="480" customFormat="1">
      <c r="A83" s="567">
        <v>51</v>
      </c>
      <c r="B83" s="565"/>
      <c r="C83" s="565" t="s">
        <v>161</v>
      </c>
      <c r="D83" s="318">
        <v>0</v>
      </c>
      <c r="E83" s="369">
        <v>0</v>
      </c>
      <c r="F83" s="317">
        <v>0</v>
      </c>
      <c r="G83" s="316">
        <v>0</v>
      </c>
    </row>
    <row r="84" spans="1:7" s="480" customFormat="1">
      <c r="A84" s="567">
        <v>52</v>
      </c>
      <c r="B84" s="565"/>
      <c r="C84" s="565" t="s">
        <v>160</v>
      </c>
      <c r="D84" s="318">
        <v>964.1</v>
      </c>
      <c r="E84" s="369">
        <v>1222</v>
      </c>
      <c r="F84" s="317">
        <v>1040.3</v>
      </c>
      <c r="G84" s="316">
        <v>1213</v>
      </c>
    </row>
    <row r="85" spans="1:7" s="480" customFormat="1">
      <c r="A85" s="571">
        <v>54</v>
      </c>
      <c r="B85" s="570"/>
      <c r="C85" s="570" t="s">
        <v>117</v>
      </c>
      <c r="D85" s="318">
        <v>2358.9</v>
      </c>
      <c r="E85" s="369">
        <v>2575</v>
      </c>
      <c r="F85" s="317">
        <v>1505.7</v>
      </c>
      <c r="G85" s="316">
        <v>1570</v>
      </c>
    </row>
    <row r="86" spans="1:7" s="480" customFormat="1">
      <c r="A86" s="567">
        <v>55</v>
      </c>
      <c r="B86" s="565"/>
      <c r="C86" s="565" t="s">
        <v>159</v>
      </c>
      <c r="D86" s="318">
        <v>0</v>
      </c>
      <c r="E86" s="369">
        <v>0</v>
      </c>
      <c r="F86" s="317">
        <v>383.6</v>
      </c>
      <c r="G86" s="316">
        <v>0</v>
      </c>
    </row>
    <row r="87" spans="1:7" s="480" customFormat="1">
      <c r="A87" s="567">
        <v>56</v>
      </c>
      <c r="B87" s="565"/>
      <c r="C87" s="565" t="s">
        <v>158</v>
      </c>
      <c r="D87" s="318">
        <v>10652.6</v>
      </c>
      <c r="E87" s="369">
        <v>18278</v>
      </c>
      <c r="F87" s="317">
        <v>13248.6</v>
      </c>
      <c r="G87" s="316">
        <v>22825</v>
      </c>
    </row>
    <row r="88" spans="1:7" s="480" customFormat="1">
      <c r="A88" s="567">
        <v>57</v>
      </c>
      <c r="B88" s="565"/>
      <c r="C88" s="565" t="s">
        <v>143</v>
      </c>
      <c r="D88" s="318">
        <v>929.2</v>
      </c>
      <c r="E88" s="369">
        <v>2630</v>
      </c>
      <c r="F88" s="317">
        <v>1030.2</v>
      </c>
      <c r="G88" s="316">
        <v>2580</v>
      </c>
    </row>
    <row r="89" spans="1:7" s="480" customFormat="1">
      <c r="A89" s="567">
        <v>580</v>
      </c>
      <c r="B89" s="565"/>
      <c r="C89" s="565" t="s">
        <v>157</v>
      </c>
      <c r="D89" s="318">
        <v>0</v>
      </c>
      <c r="E89" s="369">
        <v>0</v>
      </c>
      <c r="F89" s="317">
        <v>0</v>
      </c>
      <c r="G89" s="316">
        <v>0</v>
      </c>
    </row>
    <row r="90" spans="1:7" s="480" customFormat="1">
      <c r="A90" s="567">
        <v>582</v>
      </c>
      <c r="B90" s="565"/>
      <c r="C90" s="565" t="s">
        <v>156</v>
      </c>
      <c r="D90" s="318">
        <v>0</v>
      </c>
      <c r="E90" s="369">
        <v>0</v>
      </c>
      <c r="F90" s="317">
        <v>0</v>
      </c>
      <c r="G90" s="316">
        <v>0</v>
      </c>
    </row>
    <row r="91" spans="1:7" s="480" customFormat="1">
      <c r="A91" s="567">
        <v>584</v>
      </c>
      <c r="B91" s="565"/>
      <c r="C91" s="565" t="s">
        <v>155</v>
      </c>
      <c r="D91" s="318">
        <v>0</v>
      </c>
      <c r="E91" s="369">
        <v>0</v>
      </c>
      <c r="F91" s="317">
        <v>0</v>
      </c>
      <c r="G91" s="316">
        <v>0</v>
      </c>
    </row>
    <row r="92" spans="1:7" s="480" customFormat="1">
      <c r="A92" s="567">
        <v>585</v>
      </c>
      <c r="B92" s="565"/>
      <c r="C92" s="565" t="s">
        <v>154</v>
      </c>
      <c r="D92" s="318">
        <v>0</v>
      </c>
      <c r="E92" s="369">
        <v>0</v>
      </c>
      <c r="F92" s="317">
        <v>0</v>
      </c>
      <c r="G92" s="316">
        <v>0</v>
      </c>
    </row>
    <row r="93" spans="1:7" s="480" customFormat="1">
      <c r="A93" s="567">
        <v>586</v>
      </c>
      <c r="B93" s="565"/>
      <c r="C93" s="565" t="s">
        <v>153</v>
      </c>
      <c r="D93" s="318">
        <v>0</v>
      </c>
      <c r="E93" s="369">
        <v>0</v>
      </c>
      <c r="F93" s="317">
        <v>0</v>
      </c>
      <c r="G93" s="316">
        <v>0</v>
      </c>
    </row>
    <row r="94" spans="1:7" s="480" customFormat="1">
      <c r="A94" s="568">
        <v>589</v>
      </c>
      <c r="B94" s="561"/>
      <c r="C94" s="561" t="s">
        <v>152</v>
      </c>
      <c r="D94" s="334">
        <v>0</v>
      </c>
      <c r="E94" s="373">
        <v>0</v>
      </c>
      <c r="F94" s="333">
        <v>0</v>
      </c>
      <c r="G94" s="372">
        <v>0</v>
      </c>
    </row>
    <row r="95" spans="1:7">
      <c r="A95" s="557">
        <v>5</v>
      </c>
      <c r="B95" s="555"/>
      <c r="C95" s="555" t="s">
        <v>151</v>
      </c>
      <c r="D95" s="348">
        <f>SUM(D82:D94)</f>
        <v>26838.3</v>
      </c>
      <c r="E95" s="348">
        <f>SUM(E82:E94)</f>
        <v>35124</v>
      </c>
      <c r="F95" s="348">
        <f>SUM(F82:F94)</f>
        <v>27299.100000000002</v>
      </c>
      <c r="G95" s="348">
        <f>SUM(G82:G94)</f>
        <v>39037</v>
      </c>
    </row>
    <row r="96" spans="1:7" s="480" customFormat="1">
      <c r="A96" s="567">
        <v>60</v>
      </c>
      <c r="B96" s="565"/>
      <c r="C96" s="565" t="s">
        <v>150</v>
      </c>
      <c r="D96" s="318">
        <v>0</v>
      </c>
      <c r="E96" s="369">
        <v>0</v>
      </c>
      <c r="F96" s="317">
        <v>0</v>
      </c>
      <c r="G96" s="316">
        <v>0</v>
      </c>
    </row>
    <row r="97" spans="1:7" s="480" customFormat="1">
      <c r="A97" s="567">
        <v>61</v>
      </c>
      <c r="B97" s="565"/>
      <c r="C97" s="565" t="s">
        <v>149</v>
      </c>
      <c r="D97" s="318">
        <v>0</v>
      </c>
      <c r="E97" s="369">
        <v>0</v>
      </c>
      <c r="F97" s="317">
        <v>0</v>
      </c>
      <c r="G97" s="316">
        <v>0</v>
      </c>
    </row>
    <row r="98" spans="1:7" s="480" customFormat="1">
      <c r="A98" s="567">
        <v>62</v>
      </c>
      <c r="B98" s="565"/>
      <c r="C98" s="565" t="s">
        <v>148</v>
      </c>
      <c r="D98" s="318">
        <v>0</v>
      </c>
      <c r="E98" s="369">
        <v>0</v>
      </c>
      <c r="F98" s="317">
        <v>0</v>
      </c>
      <c r="G98" s="316">
        <v>0</v>
      </c>
    </row>
    <row r="99" spans="1:7" s="480" customFormat="1">
      <c r="A99" s="567">
        <v>63</v>
      </c>
      <c r="B99" s="565"/>
      <c r="C99" s="565" t="s">
        <v>147</v>
      </c>
      <c r="D99" s="318">
        <v>6042.9</v>
      </c>
      <c r="E99" s="369">
        <v>12388</v>
      </c>
      <c r="F99" s="317">
        <v>11122</v>
      </c>
      <c r="G99" s="316">
        <v>13975</v>
      </c>
    </row>
    <row r="100" spans="1:7" s="480" customFormat="1">
      <c r="A100" s="567">
        <v>64</v>
      </c>
      <c r="B100" s="565"/>
      <c r="C100" s="565" t="s">
        <v>146</v>
      </c>
      <c r="D100" s="318">
        <v>1314.4</v>
      </c>
      <c r="E100" s="369">
        <v>1508</v>
      </c>
      <c r="F100" s="317">
        <v>1529.8</v>
      </c>
      <c r="G100" s="316">
        <v>1526</v>
      </c>
    </row>
    <row r="101" spans="1:7" s="480" customFormat="1">
      <c r="A101" s="567">
        <v>65</v>
      </c>
      <c r="B101" s="565"/>
      <c r="C101" s="565" t="s">
        <v>145</v>
      </c>
      <c r="D101" s="318">
        <v>0</v>
      </c>
      <c r="E101" s="369">
        <v>0</v>
      </c>
      <c r="F101" s="317">
        <v>84.6</v>
      </c>
      <c r="G101" s="316">
        <v>0</v>
      </c>
    </row>
    <row r="102" spans="1:7" s="480" customFormat="1">
      <c r="A102" s="567">
        <v>66</v>
      </c>
      <c r="B102" s="565"/>
      <c r="C102" s="565" t="s">
        <v>144</v>
      </c>
      <c r="D102" s="318">
        <v>0</v>
      </c>
      <c r="E102" s="369">
        <v>0</v>
      </c>
      <c r="F102" s="317">
        <v>0</v>
      </c>
      <c r="G102" s="316">
        <v>0</v>
      </c>
    </row>
    <row r="103" spans="1:7" s="480" customFormat="1">
      <c r="A103" s="567">
        <v>67</v>
      </c>
      <c r="B103" s="565"/>
      <c r="C103" s="565" t="s">
        <v>143</v>
      </c>
      <c r="D103" s="364">
        <v>929.2</v>
      </c>
      <c r="E103" s="363">
        <v>2630</v>
      </c>
      <c r="F103" s="362">
        <v>1030.2</v>
      </c>
      <c r="G103" s="361">
        <v>2580</v>
      </c>
    </row>
    <row r="104" spans="1:7" s="480" customFormat="1" ht="25.5">
      <c r="A104" s="566" t="s">
        <v>142</v>
      </c>
      <c r="B104" s="565"/>
      <c r="C104" s="564" t="s">
        <v>141</v>
      </c>
      <c r="D104" s="364">
        <v>0</v>
      </c>
      <c r="E104" s="363">
        <v>0</v>
      </c>
      <c r="F104" s="362">
        <v>0</v>
      </c>
      <c r="G104" s="361">
        <v>0</v>
      </c>
    </row>
    <row r="105" spans="1:7" s="480" customFormat="1" ht="38.25">
      <c r="A105" s="562" t="s">
        <v>140</v>
      </c>
      <c r="B105" s="561"/>
      <c r="C105" s="560" t="s">
        <v>139</v>
      </c>
      <c r="D105" s="357">
        <v>0</v>
      </c>
      <c r="E105" s="356">
        <v>0</v>
      </c>
      <c r="F105" s="355">
        <v>0</v>
      </c>
      <c r="G105" s="354">
        <v>0</v>
      </c>
    </row>
    <row r="106" spans="1:7">
      <c r="A106" s="557">
        <v>6</v>
      </c>
      <c r="B106" s="555"/>
      <c r="C106" s="555" t="s">
        <v>138</v>
      </c>
      <c r="D106" s="348">
        <f>SUM(D96:D105)</f>
        <v>8286.5</v>
      </c>
      <c r="E106" s="348">
        <f>SUM(E96:E105)</f>
        <v>16526</v>
      </c>
      <c r="F106" s="348">
        <f>SUM(F96:F105)</f>
        <v>13766.6</v>
      </c>
      <c r="G106" s="348">
        <f>SUM(G96:G105)</f>
        <v>18081</v>
      </c>
    </row>
    <row r="107" spans="1:7">
      <c r="A107" s="556" t="s">
        <v>137</v>
      </c>
      <c r="B107" s="556"/>
      <c r="C107" s="555" t="s">
        <v>3</v>
      </c>
      <c r="D107" s="348">
        <f>(D95-D88)-(D106-D103)</f>
        <v>18551.8</v>
      </c>
      <c r="E107" s="348">
        <f>(E95-E88)-(E106-E103)</f>
        <v>18598</v>
      </c>
      <c r="F107" s="348">
        <f>(F95-F88)-(F106-F103)</f>
        <v>13532.500000000002</v>
      </c>
      <c r="G107" s="348">
        <f>(G95-G88)-(G106-G103)</f>
        <v>20956</v>
      </c>
    </row>
    <row r="108" spans="1:7">
      <c r="A108" s="554" t="s">
        <v>136</v>
      </c>
      <c r="B108" s="554"/>
      <c r="C108" s="553" t="s">
        <v>135</v>
      </c>
      <c r="D108" s="552">
        <f>ROUND(D107-D85-D86+D100+D101,0)</f>
        <v>17507</v>
      </c>
      <c r="E108" s="552">
        <f>ROUND(E107-E85-E86+E100+E101,0)</f>
        <v>17531</v>
      </c>
      <c r="F108" s="552">
        <f>ROUND(F107-F85-F86+F100+F101,0)</f>
        <v>13258</v>
      </c>
      <c r="G108" s="552">
        <f>ROUND(G107-G85-G86+G100+G101,0)</f>
        <v>20912</v>
      </c>
    </row>
    <row r="109" spans="1:7">
      <c r="A109" s="534"/>
      <c r="B109" s="534"/>
      <c r="C109" s="533"/>
      <c r="D109" s="260"/>
      <c r="E109" s="260"/>
      <c r="F109" s="260"/>
      <c r="G109" s="260"/>
    </row>
    <row r="110" spans="1:7" s="512" customFormat="1">
      <c r="A110" s="550" t="s">
        <v>134</v>
      </c>
      <c r="B110" s="551"/>
      <c r="C110" s="550"/>
      <c r="D110" s="260"/>
      <c r="E110" s="260"/>
      <c r="F110" s="260"/>
      <c r="G110" s="260"/>
    </row>
    <row r="111" spans="1:7" s="516" customFormat="1">
      <c r="A111" s="532">
        <v>10</v>
      </c>
      <c r="B111" s="531"/>
      <c r="C111" s="531" t="s">
        <v>133</v>
      </c>
      <c r="D111" s="327">
        <f>D112+D117</f>
        <v>222617.59999999998</v>
      </c>
      <c r="E111" s="326">
        <f>E112+E117</f>
        <v>0</v>
      </c>
      <c r="F111" s="327">
        <f>F112+F117</f>
        <v>238917.00000000003</v>
      </c>
      <c r="G111" s="326">
        <f>G112+G117</f>
        <v>0</v>
      </c>
    </row>
    <row r="112" spans="1:7" s="516" customFormat="1">
      <c r="A112" s="539" t="s">
        <v>132</v>
      </c>
      <c r="B112" s="519"/>
      <c r="C112" s="519" t="s">
        <v>131</v>
      </c>
      <c r="D112" s="327">
        <f>D113+D114+D115+D116</f>
        <v>177642.3</v>
      </c>
      <c r="E112" s="326">
        <f>E113+E114+E115+E116</f>
        <v>0</v>
      </c>
      <c r="F112" s="327">
        <f>F113+F114+F115+F116</f>
        <v>194318.90000000002</v>
      </c>
      <c r="G112" s="326">
        <f>G113+G114+G115+G116</f>
        <v>0</v>
      </c>
    </row>
    <row r="113" spans="1:7" s="516" customFormat="1">
      <c r="A113" s="537" t="s">
        <v>130</v>
      </c>
      <c r="B113" s="526"/>
      <c r="C113" s="526" t="s">
        <v>129</v>
      </c>
      <c r="D113" s="317">
        <f>76920.3+62910.6</f>
        <v>139830.9</v>
      </c>
      <c r="E113" s="316"/>
      <c r="F113" s="317">
        <f>98579.5+68238.7</f>
        <v>166818.20000000001</v>
      </c>
      <c r="G113" s="316"/>
    </row>
    <row r="114" spans="1:7" s="546" customFormat="1" ht="15" customHeight="1">
      <c r="A114" s="524">
        <v>102</v>
      </c>
      <c r="B114" s="665"/>
      <c r="C114" s="665" t="s">
        <v>128</v>
      </c>
      <c r="D114" s="343">
        <v>27500</v>
      </c>
      <c r="E114" s="342"/>
      <c r="F114" s="343">
        <v>12000</v>
      </c>
      <c r="G114" s="342"/>
    </row>
    <row r="115" spans="1:7" s="516" customFormat="1">
      <c r="A115" s="537">
        <v>104</v>
      </c>
      <c r="B115" s="526"/>
      <c r="C115" s="526" t="s">
        <v>127</v>
      </c>
      <c r="D115" s="317">
        <v>10202</v>
      </c>
      <c r="E115" s="316"/>
      <c r="F115" s="317">
        <v>15387.1</v>
      </c>
      <c r="G115" s="316"/>
    </row>
    <row r="116" spans="1:7" s="516" customFormat="1">
      <c r="A116" s="537">
        <v>106</v>
      </c>
      <c r="B116" s="526"/>
      <c r="C116" s="526" t="s">
        <v>126</v>
      </c>
      <c r="D116" s="317">
        <v>109.4</v>
      </c>
      <c r="E116" s="316"/>
      <c r="F116" s="317">
        <v>113.6</v>
      </c>
      <c r="G116" s="316"/>
    </row>
    <row r="117" spans="1:7" s="516" customFormat="1">
      <c r="A117" s="539" t="s">
        <v>125</v>
      </c>
      <c r="B117" s="519"/>
      <c r="C117" s="519" t="s">
        <v>124</v>
      </c>
      <c r="D117" s="327">
        <f>D118+D119+D120</f>
        <v>44975.3</v>
      </c>
      <c r="E117" s="326">
        <f>E118+E119+E120</f>
        <v>0</v>
      </c>
      <c r="F117" s="327">
        <f>F118+F119+F120</f>
        <v>44598.1</v>
      </c>
      <c r="G117" s="326">
        <f>G118+G119+G120</f>
        <v>0</v>
      </c>
    </row>
    <row r="118" spans="1:7" s="516" customFormat="1">
      <c r="A118" s="537">
        <v>107</v>
      </c>
      <c r="B118" s="526"/>
      <c r="C118" s="526" t="s">
        <v>123</v>
      </c>
      <c r="D118" s="317">
        <v>40582.300000000003</v>
      </c>
      <c r="E118" s="316"/>
      <c r="F118" s="317">
        <v>40205.1</v>
      </c>
      <c r="G118" s="316"/>
    </row>
    <row r="119" spans="1:7" s="516" customFormat="1">
      <c r="A119" s="537">
        <v>108</v>
      </c>
      <c r="B119" s="526"/>
      <c r="C119" s="526" t="s">
        <v>122</v>
      </c>
      <c r="D119" s="317">
        <v>4393</v>
      </c>
      <c r="E119" s="316"/>
      <c r="F119" s="317">
        <v>4393</v>
      </c>
      <c r="G119" s="316"/>
    </row>
    <row r="120" spans="1:7" s="538" customFormat="1" ht="25.5">
      <c r="A120" s="524">
        <v>109</v>
      </c>
      <c r="B120" s="523"/>
      <c r="C120" s="523" t="s">
        <v>121</v>
      </c>
      <c r="D120" s="311">
        <v>0</v>
      </c>
      <c r="E120" s="310"/>
      <c r="F120" s="311">
        <v>0</v>
      </c>
      <c r="G120" s="310"/>
    </row>
    <row r="121" spans="1:7" s="516" customFormat="1">
      <c r="A121" s="539">
        <v>14</v>
      </c>
      <c r="B121" s="519"/>
      <c r="C121" s="519" t="s">
        <v>120</v>
      </c>
      <c r="D121" s="327">
        <f>SUM(D122:D130)</f>
        <v>147034.50000000006</v>
      </c>
      <c r="E121" s="327">
        <f>SUM(E122:E130)</f>
        <v>0</v>
      </c>
      <c r="F121" s="327">
        <f>SUM(F122:F130)</f>
        <v>152694</v>
      </c>
      <c r="G121" s="327">
        <f>SUM(G122:G130)</f>
        <v>0</v>
      </c>
    </row>
    <row r="122" spans="1:7" s="516" customFormat="1">
      <c r="A122" s="537" t="s">
        <v>119</v>
      </c>
      <c r="B122" s="526"/>
      <c r="C122" s="526" t="s">
        <v>118</v>
      </c>
      <c r="D122" s="317">
        <f>102459.5+2483.1</f>
        <v>104942.6</v>
      </c>
      <c r="E122" s="316"/>
      <c r="F122" s="317">
        <f>100157.7+2460.3</f>
        <v>102618</v>
      </c>
      <c r="G122" s="316"/>
    </row>
    <row r="123" spans="1:7" s="516" customFormat="1">
      <c r="A123" s="537">
        <v>144</v>
      </c>
      <c r="B123" s="526"/>
      <c r="C123" s="526" t="s">
        <v>117</v>
      </c>
      <c r="D123" s="317">
        <v>24211.8</v>
      </c>
      <c r="E123" s="316"/>
      <c r="F123" s="317">
        <v>24150.1</v>
      </c>
      <c r="G123" s="316"/>
    </row>
    <row r="124" spans="1:7" s="516" customFormat="1">
      <c r="A124" s="537">
        <v>145</v>
      </c>
      <c r="B124" s="526"/>
      <c r="C124" s="526" t="s">
        <v>116</v>
      </c>
      <c r="D124" s="317">
        <v>118712.5</v>
      </c>
      <c r="E124" s="304"/>
      <c r="F124" s="317">
        <v>119011.5</v>
      </c>
      <c r="G124" s="304"/>
    </row>
    <row r="125" spans="1:7" s="516" customFormat="1">
      <c r="A125" s="537">
        <v>146</v>
      </c>
      <c r="B125" s="526"/>
      <c r="C125" s="526" t="s">
        <v>115</v>
      </c>
      <c r="D125" s="317">
        <v>99102.7</v>
      </c>
      <c r="E125" s="304"/>
      <c r="F125" s="317">
        <v>96065.4</v>
      </c>
      <c r="G125" s="304"/>
    </row>
    <row r="126" spans="1:7" s="538" customFormat="1" ht="29.45" customHeight="1">
      <c r="A126" s="524" t="s">
        <v>114</v>
      </c>
      <c r="B126" s="523"/>
      <c r="C126" s="523" t="s">
        <v>113</v>
      </c>
      <c r="D126" s="311">
        <f>-96563.5-2461.3</f>
        <v>-99024.8</v>
      </c>
      <c r="E126" s="339"/>
      <c r="F126" s="311">
        <v>-99025</v>
      </c>
      <c r="G126" s="339"/>
    </row>
    <row r="127" spans="1:7" s="516" customFormat="1">
      <c r="A127" s="537">
        <v>1484</v>
      </c>
      <c r="B127" s="526"/>
      <c r="C127" s="526" t="s">
        <v>112</v>
      </c>
      <c r="D127" s="317"/>
      <c r="E127" s="304"/>
      <c r="F127" s="317">
        <v>0</v>
      </c>
      <c r="G127" s="304"/>
    </row>
    <row r="128" spans="1:7" s="516" customFormat="1">
      <c r="A128" s="537">
        <v>1485</v>
      </c>
      <c r="B128" s="526"/>
      <c r="C128" s="526" t="s">
        <v>111</v>
      </c>
      <c r="D128" s="317"/>
      <c r="E128" s="304"/>
      <c r="F128" s="317">
        <v>0</v>
      </c>
      <c r="G128" s="304"/>
    </row>
    <row r="129" spans="1:7" s="516" customFormat="1">
      <c r="A129" s="537">
        <v>1486</v>
      </c>
      <c r="B129" s="526"/>
      <c r="C129" s="526" t="s">
        <v>110</v>
      </c>
      <c r="D129" s="317">
        <v>-100910.3</v>
      </c>
      <c r="E129" s="304"/>
      <c r="F129" s="317">
        <v>-100910</v>
      </c>
      <c r="G129" s="304"/>
    </row>
    <row r="130" spans="1:7" s="516" customFormat="1">
      <c r="A130" s="536">
        <v>1489</v>
      </c>
      <c r="B130" s="535"/>
      <c r="C130" s="535" t="s">
        <v>109</v>
      </c>
      <c r="D130" s="333"/>
      <c r="E130" s="332"/>
      <c r="F130" s="333">
        <v>10784</v>
      </c>
      <c r="G130" s="332"/>
    </row>
    <row r="131" spans="1:7" s="512" customFormat="1">
      <c r="A131" s="515">
        <v>1</v>
      </c>
      <c r="B131" s="514"/>
      <c r="C131" s="515" t="s">
        <v>108</v>
      </c>
      <c r="D131" s="295">
        <f>D111+D121</f>
        <v>369652.10000000003</v>
      </c>
      <c r="E131" s="295">
        <f>E111+E121</f>
        <v>0</v>
      </c>
      <c r="F131" s="295">
        <f>F111+F121</f>
        <v>391611</v>
      </c>
      <c r="G131" s="295">
        <f>G111+G121</f>
        <v>0</v>
      </c>
    </row>
    <row r="132" spans="1:7" s="512" customFormat="1">
      <c r="A132" s="534"/>
      <c r="B132" s="534"/>
      <c r="C132" s="533"/>
      <c r="D132" s="260"/>
      <c r="E132" s="260"/>
      <c r="F132" s="260"/>
      <c r="G132" s="260"/>
    </row>
    <row r="133" spans="1:7" s="516" customFormat="1">
      <c r="A133" s="532">
        <v>20</v>
      </c>
      <c r="B133" s="531"/>
      <c r="C133" s="531" t="s">
        <v>107</v>
      </c>
      <c r="D133" s="329">
        <f>D134+D140</f>
        <v>268793.3</v>
      </c>
      <c r="E133" s="530">
        <f>E134+E140</f>
        <v>0</v>
      </c>
      <c r="F133" s="329">
        <f>F134+F140</f>
        <v>292596.89999999997</v>
      </c>
      <c r="G133" s="530">
        <f>G134+G140</f>
        <v>0</v>
      </c>
    </row>
    <row r="134" spans="1:7" s="516" customFormat="1">
      <c r="A134" s="520" t="s">
        <v>106</v>
      </c>
      <c r="B134" s="519"/>
      <c r="C134" s="519" t="s">
        <v>105</v>
      </c>
      <c r="D134" s="327">
        <f>D135+D136+D138+D139</f>
        <v>127120.5</v>
      </c>
      <c r="E134" s="326">
        <f>E135+E136+E138+E139</f>
        <v>0</v>
      </c>
      <c r="F134" s="327">
        <f>F135+F136+F138+F139</f>
        <v>122078.2</v>
      </c>
      <c r="G134" s="326">
        <f>G135+G136+G138+G139</f>
        <v>0</v>
      </c>
    </row>
    <row r="135" spans="1:7" s="525" customFormat="1">
      <c r="A135" s="527">
        <v>200</v>
      </c>
      <c r="B135" s="526"/>
      <c r="C135" s="526" t="s">
        <v>104</v>
      </c>
      <c r="D135" s="317">
        <v>97485.6</v>
      </c>
      <c r="E135" s="316"/>
      <c r="F135" s="317">
        <v>98934.8</v>
      </c>
      <c r="G135" s="316"/>
    </row>
    <row r="136" spans="1:7" s="525" customFormat="1">
      <c r="A136" s="527">
        <v>201</v>
      </c>
      <c r="B136" s="526"/>
      <c r="C136" s="526" t="s">
        <v>103</v>
      </c>
      <c r="D136" s="317">
        <v>17000</v>
      </c>
      <c r="E136" s="316"/>
      <c r="F136" s="317">
        <v>10000</v>
      </c>
      <c r="G136" s="316"/>
    </row>
    <row r="137" spans="1:7" s="525" customFormat="1">
      <c r="A137" s="529" t="s">
        <v>102</v>
      </c>
      <c r="B137" s="528"/>
      <c r="C137" s="528" t="s">
        <v>101</v>
      </c>
      <c r="D137" s="322">
        <v>0</v>
      </c>
      <c r="E137" s="328"/>
      <c r="F137" s="322">
        <v>0</v>
      </c>
      <c r="G137" s="328"/>
    </row>
    <row r="138" spans="1:7" s="525" customFormat="1">
      <c r="A138" s="529">
        <v>204</v>
      </c>
      <c r="B138" s="528"/>
      <c r="C138" s="528" t="s">
        <v>100</v>
      </c>
      <c r="D138" s="322">
        <v>11804.9</v>
      </c>
      <c r="E138" s="328"/>
      <c r="F138" s="322">
        <v>12303.4</v>
      </c>
      <c r="G138" s="328"/>
    </row>
    <row r="139" spans="1:7" s="525" customFormat="1">
      <c r="A139" s="529">
        <v>205</v>
      </c>
      <c r="B139" s="528"/>
      <c r="C139" s="528" t="s">
        <v>99</v>
      </c>
      <c r="D139" s="322">
        <v>830</v>
      </c>
      <c r="E139" s="328"/>
      <c r="F139" s="322">
        <v>840</v>
      </c>
      <c r="G139" s="328"/>
    </row>
    <row r="140" spans="1:7" s="525" customFormat="1">
      <c r="A140" s="520" t="s">
        <v>98</v>
      </c>
      <c r="B140" s="519"/>
      <c r="C140" s="519" t="s">
        <v>97</v>
      </c>
      <c r="D140" s="327">
        <f>D141+D143+D144</f>
        <v>141672.79999999999</v>
      </c>
      <c r="E140" s="326">
        <f>E141+E143+E144</f>
        <v>0</v>
      </c>
      <c r="F140" s="327">
        <f>F141+F143+F144</f>
        <v>170518.69999999998</v>
      </c>
      <c r="G140" s="326">
        <f>G141+G143+G144</f>
        <v>0</v>
      </c>
    </row>
    <row r="141" spans="1:7" s="525" customFormat="1">
      <c r="A141" s="527">
        <v>206</v>
      </c>
      <c r="B141" s="526"/>
      <c r="C141" s="526" t="s">
        <v>96</v>
      </c>
      <c r="D141" s="317">
        <v>127220.5</v>
      </c>
      <c r="E141" s="304"/>
      <c r="F141" s="317">
        <v>155924.29999999999</v>
      </c>
      <c r="G141" s="304"/>
    </row>
    <row r="142" spans="1:7" s="525" customFormat="1">
      <c r="A142" s="529" t="s">
        <v>95</v>
      </c>
      <c r="B142" s="528"/>
      <c r="C142" s="528" t="s">
        <v>94</v>
      </c>
      <c r="D142" s="322">
        <v>0</v>
      </c>
      <c r="E142" s="328"/>
      <c r="F142" s="322">
        <v>0</v>
      </c>
      <c r="G142" s="328"/>
    </row>
    <row r="143" spans="1:7" s="525" customFormat="1">
      <c r="A143" s="527">
        <v>208</v>
      </c>
      <c r="B143" s="526"/>
      <c r="C143" s="526" t="s">
        <v>93</v>
      </c>
      <c r="D143" s="317">
        <v>13420</v>
      </c>
      <c r="E143" s="304"/>
      <c r="F143" s="317">
        <v>13460</v>
      </c>
      <c r="G143" s="304"/>
    </row>
    <row r="144" spans="1:7" s="521" customFormat="1" ht="25.5">
      <c r="A144" s="524">
        <v>209</v>
      </c>
      <c r="B144" s="523"/>
      <c r="C144" s="523" t="s">
        <v>92</v>
      </c>
      <c r="D144" s="311">
        <v>1032.3</v>
      </c>
      <c r="E144" s="339"/>
      <c r="F144" s="311">
        <f>1134.4</f>
        <v>1134.4000000000001</v>
      </c>
      <c r="G144" s="339"/>
    </row>
    <row r="145" spans="1:7" s="516" customFormat="1">
      <c r="A145" s="520">
        <v>29</v>
      </c>
      <c r="B145" s="519"/>
      <c r="C145" s="519" t="s">
        <v>61</v>
      </c>
      <c r="D145" s="305">
        <v>100859</v>
      </c>
      <c r="E145" s="304"/>
      <c r="F145" s="305">
        <v>99014</v>
      </c>
      <c r="G145" s="304"/>
    </row>
    <row r="146" spans="1:7" s="516" customFormat="1">
      <c r="A146" s="518" t="s">
        <v>91</v>
      </c>
      <c r="B146" s="517"/>
      <c r="C146" s="517" t="s">
        <v>90</v>
      </c>
      <c r="D146" s="300">
        <v>57772.1</v>
      </c>
      <c r="E146" s="299"/>
      <c r="F146" s="300">
        <v>56393</v>
      </c>
      <c r="G146" s="299"/>
    </row>
    <row r="147" spans="1:7" s="512" customFormat="1">
      <c r="A147" s="515">
        <v>2</v>
      </c>
      <c r="B147" s="514"/>
      <c r="C147" s="515" t="s">
        <v>89</v>
      </c>
      <c r="D147" s="295">
        <f>D133+D145</f>
        <v>369652.3</v>
      </c>
      <c r="E147" s="295">
        <f>E133+E145</f>
        <v>0</v>
      </c>
      <c r="F147" s="295">
        <f>F133+F145</f>
        <v>391610.89999999997</v>
      </c>
      <c r="G147" s="295">
        <f>G133+G145</f>
        <v>0</v>
      </c>
    </row>
    <row r="148" spans="1:7" ht="7.5" customHeight="1">
      <c r="D148" s="512"/>
      <c r="F148" s="512"/>
    </row>
    <row r="149" spans="1:7" ht="13.5" customHeight="1">
      <c r="A149" s="511" t="s">
        <v>88</v>
      </c>
      <c r="B149" s="509"/>
      <c r="C149" s="664" t="s">
        <v>87</v>
      </c>
      <c r="D149" s="509"/>
      <c r="E149" s="509"/>
      <c r="F149" s="509"/>
      <c r="G149" s="509"/>
    </row>
    <row r="150" spans="1:7">
      <c r="A150" s="498" t="s">
        <v>86</v>
      </c>
      <c r="B150" s="494"/>
      <c r="C150" s="494" t="s">
        <v>85</v>
      </c>
      <c r="D150" s="268">
        <f>D77+SUM(D8:D12)-D30-D31+D16-D33+D59+D63-D73+D64-D74-D54+D20-D35</f>
        <v>12393.600000000009</v>
      </c>
      <c r="E150" s="268">
        <f>E77+SUM(E8:E12)-E30-E31+E16-E33+E59+E63-E73+E64-E74-E54+E20-E35</f>
        <v>15446.300000000014</v>
      </c>
      <c r="F150" s="268">
        <f>F77+SUM(F8:F12)-F30-F31+F16-F33+F59+F63-F73+F64-F74-F54+F20-F35</f>
        <v>17117.900000000052</v>
      </c>
      <c r="G150" s="268">
        <f>G77+SUM(G8:G12)-G30-G31+G16-G33+G59+G63-G73+G64-G74-G54+G20-G35</f>
        <v>1859</v>
      </c>
    </row>
    <row r="151" spans="1:7">
      <c r="A151" s="489" t="s">
        <v>84</v>
      </c>
      <c r="B151" s="488"/>
      <c r="C151" s="488" t="s">
        <v>83</v>
      </c>
      <c r="D151" s="269">
        <f>IF(D177=0,0,D150/D177)</f>
        <v>3.9945298250556087E-2</v>
      </c>
      <c r="E151" s="269">
        <f>IF(E177=0,0,E150/E177)</f>
        <v>4.9162791052965976E-2</v>
      </c>
      <c r="F151" s="269">
        <f>IF(F177=0,0,F150/F177)</f>
        <v>5.4834887339243271E-2</v>
      </c>
      <c r="G151" s="269">
        <f>IF(G177=0,0,G150/G177)</f>
        <v>6.1114928282831604E-3</v>
      </c>
    </row>
    <row r="152" spans="1:7" s="613" customFormat="1" ht="25.5">
      <c r="A152" s="816" t="s">
        <v>81</v>
      </c>
      <c r="B152" s="815"/>
      <c r="C152" s="815" t="s">
        <v>82</v>
      </c>
      <c r="D152" s="814">
        <f>IF(D107=0,0,D150/D107)</f>
        <v>0.66805377375780306</v>
      </c>
      <c r="E152" s="814">
        <f>IF(E107=0,0,E150/E107)</f>
        <v>0.83053554145607134</v>
      </c>
      <c r="F152" s="814">
        <f>IF(F107=0,0,F150/F107)</f>
        <v>1.2649473489746943</v>
      </c>
      <c r="G152" s="814">
        <f>IF(G107=0,0,G150/G107)</f>
        <v>8.8709677419354843E-2</v>
      </c>
    </row>
    <row r="153" spans="1:7" s="613" customFormat="1" ht="25.5">
      <c r="A153" s="813" t="s">
        <v>81</v>
      </c>
      <c r="B153" s="812"/>
      <c r="C153" s="812" t="s">
        <v>80</v>
      </c>
      <c r="D153" s="289">
        <f>IF(0=D108,0,D150/D108)</f>
        <v>0.70792254526760778</v>
      </c>
      <c r="E153" s="289">
        <f>IF(0=E108,0,E150/E108)</f>
        <v>0.88108493525754461</v>
      </c>
      <c r="F153" s="289">
        <f>IF(0=F108,0,F150/F108)</f>
        <v>1.2911374264595001</v>
      </c>
      <c r="G153" s="289">
        <f>IF(0=G108,0,G150/G108)</f>
        <v>8.8896327467482786E-2</v>
      </c>
    </row>
    <row r="154" spans="1:7" ht="25.5">
      <c r="A154" s="503" t="s">
        <v>79</v>
      </c>
      <c r="B154" s="502"/>
      <c r="C154" s="502" t="s">
        <v>78</v>
      </c>
      <c r="D154" s="279">
        <f>D150-D107</f>
        <v>-6158.1999999999898</v>
      </c>
      <c r="E154" s="279">
        <f>E150-E107</f>
        <v>-3151.6999999999862</v>
      </c>
      <c r="F154" s="279">
        <f>F150-F107</f>
        <v>3585.4000000000506</v>
      </c>
      <c r="G154" s="279">
        <f>G150-G107</f>
        <v>-19097</v>
      </c>
    </row>
    <row r="155" spans="1:7" ht="25.5">
      <c r="A155" s="497" t="s">
        <v>77</v>
      </c>
      <c r="B155" s="500"/>
      <c r="C155" s="500" t="s">
        <v>76</v>
      </c>
      <c r="D155" s="282">
        <f>D150-D108</f>
        <v>-5113.3999999999905</v>
      </c>
      <c r="E155" s="282">
        <f>E150-E108</f>
        <v>-2084.6999999999862</v>
      </c>
      <c r="F155" s="282">
        <f>F150-F108</f>
        <v>3859.9000000000524</v>
      </c>
      <c r="G155" s="282">
        <f>G150-G108</f>
        <v>-19053</v>
      </c>
    </row>
    <row r="156" spans="1:7">
      <c r="A156" s="498" t="s">
        <v>75</v>
      </c>
      <c r="B156" s="494"/>
      <c r="C156" s="494" t="s">
        <v>74</v>
      </c>
      <c r="D156" s="277">
        <f>D135+D136-D137+D141-D142</f>
        <v>241706.1</v>
      </c>
      <c r="E156" s="277">
        <f>E135+E136-E137+E141-E142</f>
        <v>0</v>
      </c>
      <c r="F156" s="277">
        <f>F135+F136-F137+F141-F142</f>
        <v>264859.09999999998</v>
      </c>
      <c r="G156" s="277">
        <f>G135+G136-G137+G141-G142</f>
        <v>0</v>
      </c>
    </row>
    <row r="157" spans="1:7">
      <c r="A157" s="492" t="s">
        <v>73</v>
      </c>
      <c r="B157" s="491"/>
      <c r="C157" s="491" t="s">
        <v>72</v>
      </c>
      <c r="D157" s="273">
        <f>IF(D177=0,0,D156/D177)</f>
        <v>0.77903290839455275</v>
      </c>
      <c r="E157" s="273">
        <f>IF(E177=0,0,E156/E177)</f>
        <v>0</v>
      </c>
      <c r="F157" s="273">
        <f>IF(F177=0,0,F156/F177)</f>
        <v>0.84844045760714348</v>
      </c>
      <c r="G157" s="273">
        <f>IF(G177=0,0,G156/G177)</f>
        <v>0</v>
      </c>
    </row>
    <row r="158" spans="1:7">
      <c r="A158" s="498" t="s">
        <v>71</v>
      </c>
      <c r="B158" s="494"/>
      <c r="C158" s="494" t="s">
        <v>70</v>
      </c>
      <c r="D158" s="277">
        <f>D133-D142-D111</f>
        <v>46175.700000000012</v>
      </c>
      <c r="E158" s="277">
        <f>E133-E142-E111</f>
        <v>0</v>
      </c>
      <c r="F158" s="277">
        <f>F133-F142-F111</f>
        <v>53679.899999999936</v>
      </c>
      <c r="G158" s="277">
        <f>G133-G142-G111</f>
        <v>0</v>
      </c>
    </row>
    <row r="159" spans="1:7">
      <c r="A159" s="489" t="s">
        <v>69</v>
      </c>
      <c r="B159" s="488"/>
      <c r="C159" s="488" t="s">
        <v>68</v>
      </c>
      <c r="D159" s="265">
        <f>D121-D123-D124-D142-D145</f>
        <v>-96748.799999999945</v>
      </c>
      <c r="E159" s="265">
        <f>E121-E123-E124-E142-E145</f>
        <v>0</v>
      </c>
      <c r="F159" s="265">
        <f>F121-F123-F124-F142-F145</f>
        <v>-89481.600000000006</v>
      </c>
      <c r="G159" s="265">
        <f>G121-G123-G124-G142-G145</f>
        <v>0</v>
      </c>
    </row>
    <row r="160" spans="1:7">
      <c r="A160" s="489" t="s">
        <v>66</v>
      </c>
      <c r="B160" s="488"/>
      <c r="C160" s="488" t="s">
        <v>67</v>
      </c>
      <c r="D160" s="276">
        <f>IF(D175=0,"-",1000*D158/D175)</f>
        <v>1104.2063226361856</v>
      </c>
      <c r="E160" s="276">
        <f>IF(E175=0,"-",1000*E158/E175)</f>
        <v>0</v>
      </c>
      <c r="F160" s="276">
        <f>IF(F175=0,"-",1000*F158/F175)</f>
        <v>1277.606150038079</v>
      </c>
      <c r="G160" s="276">
        <f>IF(G175=0,"-",1000*G158/G175)</f>
        <v>0</v>
      </c>
    </row>
    <row r="161" spans="1:7">
      <c r="A161" s="489" t="s">
        <v>66</v>
      </c>
      <c r="B161" s="488"/>
      <c r="C161" s="488" t="s">
        <v>65</v>
      </c>
      <c r="D161" s="265">
        <f>IF(D175=0,0,1000*(D159/D175))</f>
        <v>-2313.5683198622592</v>
      </c>
      <c r="E161" s="265">
        <f>IF(E175=0,0,1000*(E159/E175))</f>
        <v>0</v>
      </c>
      <c r="F161" s="265">
        <f>IF(F175=0,0,1000*(F159/F175))</f>
        <v>-2129.7029702970299</v>
      </c>
      <c r="G161" s="265">
        <f>IF(G175=0,0,1000*(G159/G175))</f>
        <v>0</v>
      </c>
    </row>
    <row r="162" spans="1:7">
      <c r="A162" s="492" t="s">
        <v>64</v>
      </c>
      <c r="B162" s="491"/>
      <c r="C162" s="491" t="s">
        <v>63</v>
      </c>
      <c r="D162" s="273">
        <f>IF((D22+D23+D65+D66)=0,0,D158/(D22+D23+D65+D66))</f>
        <v>0.2636816886336214</v>
      </c>
      <c r="E162" s="273">
        <f>IF((E22+E23+E65+E66)=0,0,E158/(E22+E23+E65+E66))</f>
        <v>0</v>
      </c>
      <c r="F162" s="273">
        <f>IF((F22+F23+F65+F66)=0,0,F158/(F22+F23+F65+F66))</f>
        <v>0.31548333747670415</v>
      </c>
      <c r="G162" s="273">
        <f>IF((G22+G23+G65+G66)=0,0,G158/(G22+G23+G65+G66))</f>
        <v>0</v>
      </c>
    </row>
    <row r="163" spans="1:7">
      <c r="A163" s="489" t="s">
        <v>62</v>
      </c>
      <c r="B163" s="488"/>
      <c r="C163" s="488" t="s">
        <v>61</v>
      </c>
      <c r="D163" s="268">
        <f>D145</f>
        <v>100859</v>
      </c>
      <c r="E163" s="268">
        <f>E145</f>
        <v>0</v>
      </c>
      <c r="F163" s="268">
        <f>F145</f>
        <v>99014</v>
      </c>
      <c r="G163" s="268">
        <f>G145</f>
        <v>0</v>
      </c>
    </row>
    <row r="164" spans="1:7" ht="25.5">
      <c r="A164" s="497" t="s">
        <v>60</v>
      </c>
      <c r="B164" s="496"/>
      <c r="C164" s="496" t="s">
        <v>59</v>
      </c>
      <c r="D164" s="274">
        <f>IF(D178=0,0,D146/D178)</f>
        <v>0.18271249082438384</v>
      </c>
      <c r="E164" s="274">
        <f>IF(E178=0,0,E146/E178)</f>
        <v>0</v>
      </c>
      <c r="F164" s="274">
        <f>IF(F178=0,0,F146/F178)</f>
        <v>0.17939495042326875</v>
      </c>
      <c r="G164" s="274">
        <f>IF(G178=0,0,G146/G178)</f>
        <v>0</v>
      </c>
    </row>
    <row r="165" spans="1:7">
      <c r="A165" s="486" t="s">
        <v>58</v>
      </c>
      <c r="B165" s="485"/>
      <c r="C165" s="485" t="s">
        <v>57</v>
      </c>
      <c r="D165" s="262">
        <f>IF(D177=0,0,D180/D177)</f>
        <v>6.0355638724790439E-2</v>
      </c>
      <c r="E165" s="262">
        <f>IF(E177=0,0,E180/E177)</f>
        <v>6.1092636609813004E-2</v>
      </c>
      <c r="F165" s="262">
        <f>IF(F177=0,0,F180/F177)</f>
        <v>6.4223951114082398E-2</v>
      </c>
      <c r="G165" s="262">
        <f>IF(G177=0,0,G180/G177)</f>
        <v>6.4323544205588126E-2</v>
      </c>
    </row>
    <row r="166" spans="1:7">
      <c r="A166" s="489" t="s">
        <v>56</v>
      </c>
      <c r="B166" s="488"/>
      <c r="C166" s="488" t="s">
        <v>55</v>
      </c>
      <c r="D166" s="268">
        <f>D55</f>
        <v>15360.8</v>
      </c>
      <c r="E166" s="268">
        <f>E55</f>
        <v>15983.5</v>
      </c>
      <c r="F166" s="268">
        <f>F55</f>
        <v>16651.8</v>
      </c>
      <c r="G166" s="268">
        <f>G55</f>
        <v>15685</v>
      </c>
    </row>
    <row r="167" spans="1:7">
      <c r="A167" s="492" t="s">
        <v>54</v>
      </c>
      <c r="B167" s="491"/>
      <c r="C167" s="491" t="s">
        <v>53</v>
      </c>
      <c r="D167" s="273">
        <f>IF(0=D111,0,(D44+D45+D46+D47+D48)/D111)</f>
        <v>1.207047421228151E-2</v>
      </c>
      <c r="E167" s="273">
        <f>IF(0=E111,0,(E44+E45+E46+E47+E48)/E111)</f>
        <v>0</v>
      </c>
      <c r="F167" s="273">
        <f>IF(0=F111,0,(F44+F45+F46+F47+F48)/F111)</f>
        <v>9.4710715436741606E-3</v>
      </c>
      <c r="G167" s="273">
        <f>IF(0=G111,0,(G44+G45+G46+G47+G48)/G111)</f>
        <v>0</v>
      </c>
    </row>
    <row r="168" spans="1:7">
      <c r="A168" s="489" t="s">
        <v>52</v>
      </c>
      <c r="B168" s="494"/>
      <c r="C168" s="494" t="s">
        <v>51</v>
      </c>
      <c r="D168" s="268">
        <f>D38-D44</f>
        <v>899.39999999999986</v>
      </c>
      <c r="E168" s="268">
        <f>E38-E44</f>
        <v>829.49999999999977</v>
      </c>
      <c r="F168" s="268">
        <f>F38-F44</f>
        <v>804.30000000000018</v>
      </c>
      <c r="G168" s="268">
        <f>G38-G44</f>
        <v>1108</v>
      </c>
    </row>
    <row r="169" spans="1:7">
      <c r="A169" s="492" t="s">
        <v>50</v>
      </c>
      <c r="B169" s="491"/>
      <c r="C169" s="491" t="s">
        <v>49</v>
      </c>
      <c r="D169" s="269">
        <f>IF(D177=0,0,D168/D177)</f>
        <v>2.898818845738939E-3</v>
      </c>
      <c r="E169" s="269">
        <f>IF(E177=0,0,E168/E177)</f>
        <v>2.6401491087467699E-3</v>
      </c>
      <c r="F169" s="269">
        <f>IF(F177=0,0,F168/F177)</f>
        <v>2.5764667328909059E-3</v>
      </c>
      <c r="G169" s="269">
        <f>IF(G177=0,0,G168/G177)</f>
        <v>3.6425680762440784E-3</v>
      </c>
    </row>
    <row r="170" spans="1:7">
      <c r="A170" s="489" t="s">
        <v>48</v>
      </c>
      <c r="B170" s="488"/>
      <c r="C170" s="488" t="s">
        <v>47</v>
      </c>
      <c r="D170" s="268">
        <f>SUM(D82:D87)+SUM(D89:D94)</f>
        <v>25909.1</v>
      </c>
      <c r="E170" s="268">
        <f>SUM(E82:E87)+SUM(E89:E94)</f>
        <v>32494</v>
      </c>
      <c r="F170" s="268">
        <f>SUM(F82:F87)+SUM(F89:F94)</f>
        <v>26268.9</v>
      </c>
      <c r="G170" s="268">
        <f>SUM(G82:G87)+SUM(G89:G94)</f>
        <v>36457</v>
      </c>
    </row>
    <row r="171" spans="1:7">
      <c r="A171" s="489" t="s">
        <v>46</v>
      </c>
      <c r="B171" s="488"/>
      <c r="C171" s="488" t="s">
        <v>45</v>
      </c>
      <c r="D171" s="265">
        <f>SUM(D96:D102)+SUM(D104:D105)</f>
        <v>7357.2999999999993</v>
      </c>
      <c r="E171" s="265">
        <f>SUM(E96:E102)+SUM(E104:E105)</f>
        <v>13896</v>
      </c>
      <c r="F171" s="265">
        <f>SUM(F96:F102)+SUM(F104:F105)</f>
        <v>12736.4</v>
      </c>
      <c r="G171" s="265">
        <f>SUM(G96:G102)+SUM(G104:G105)</f>
        <v>15501</v>
      </c>
    </row>
    <row r="172" spans="1:7">
      <c r="A172" s="486" t="s">
        <v>44</v>
      </c>
      <c r="B172" s="485"/>
      <c r="C172" s="485" t="s">
        <v>43</v>
      </c>
      <c r="D172" s="262">
        <f>IF(D184=0,0,D170/D184)</f>
        <v>8.0209238530624685E-2</v>
      </c>
      <c r="E172" s="262">
        <f>IF(E184=0,0,E170/E184)</f>
        <v>9.8332695818061214E-2</v>
      </c>
      <c r="F172" s="262">
        <f>IF(F184=0,0,F170/F184)</f>
        <v>8.2220297651818916E-2</v>
      </c>
      <c r="G172" s="262">
        <f>IF(G184=0,0,G170/G184)</f>
        <v>0.10780130519505481</v>
      </c>
    </row>
    <row r="173" spans="1:7">
      <c r="A173" s="678"/>
    </row>
    <row r="174" spans="1:7">
      <c r="A174" s="479" t="s">
        <v>42</v>
      </c>
      <c r="B174" s="477"/>
      <c r="C174" s="649"/>
      <c r="D174" s="260"/>
      <c r="E174" s="260"/>
      <c r="F174" s="260"/>
      <c r="G174" s="260"/>
    </row>
    <row r="175" spans="1:7" s="480" customFormat="1">
      <c r="A175" s="478" t="s">
        <v>41</v>
      </c>
      <c r="B175" s="477"/>
      <c r="C175" s="477" t="s">
        <v>259</v>
      </c>
      <c r="D175" s="257">
        <v>41818</v>
      </c>
      <c r="E175" s="257">
        <v>41818</v>
      </c>
      <c r="F175" s="257">
        <v>42016</v>
      </c>
      <c r="G175" s="257">
        <v>42200</v>
      </c>
    </row>
    <row r="176" spans="1:7">
      <c r="A176" s="479" t="s">
        <v>39</v>
      </c>
      <c r="B176" s="477"/>
      <c r="C176" s="477"/>
      <c r="D176" s="477"/>
      <c r="E176" s="477"/>
      <c r="F176" s="477"/>
      <c r="G176" s="477"/>
    </row>
    <row r="177" spans="1:7">
      <c r="A177" s="478" t="s">
        <v>38</v>
      </c>
      <c r="B177" s="477"/>
      <c r="C177" s="477" t="s">
        <v>37</v>
      </c>
      <c r="D177" s="475">
        <f>SUM(D22:D32)+SUM(D44:D53)+SUM(D65:D72)+D75</f>
        <v>310264.3</v>
      </c>
      <c r="E177" s="475">
        <f>SUM(E22:E32)+SUM(E44:E53)+SUM(E65:E72)+E75</f>
        <v>314186.80000000005</v>
      </c>
      <c r="F177" s="475">
        <f>SUM(F22:F32)+SUM(F44:F53)+SUM(F65:F72)+F75</f>
        <v>312171.70000000007</v>
      </c>
      <c r="G177" s="475">
        <f>SUM(G22:G32)+SUM(G44:G53)+SUM(G65:G72)+G75</f>
        <v>304181</v>
      </c>
    </row>
    <row r="178" spans="1:7">
      <c r="A178" s="478" t="s">
        <v>36</v>
      </c>
      <c r="B178" s="477"/>
      <c r="C178" s="477" t="s">
        <v>35</v>
      </c>
      <c r="D178" s="475">
        <f>D78-D17-D20-D59-D63-D64</f>
        <v>316191.3</v>
      </c>
      <c r="E178" s="475">
        <f>E78-E17-E20-E59-E63-E64</f>
        <v>316895.10000000003</v>
      </c>
      <c r="F178" s="475">
        <f>F78-F17-F20-F59-F63-F64</f>
        <v>314351.10000000003</v>
      </c>
      <c r="G178" s="475">
        <f>G78-G17-G20-G59-G63-G64</f>
        <v>320940</v>
      </c>
    </row>
    <row r="179" spans="1:7">
      <c r="A179" s="478"/>
      <c r="B179" s="477"/>
      <c r="C179" s="477" t="s">
        <v>34</v>
      </c>
      <c r="D179" s="475">
        <f>D178+D170</f>
        <v>342100.39999999997</v>
      </c>
      <c r="E179" s="475">
        <f>E178+E170</f>
        <v>349389.10000000003</v>
      </c>
      <c r="F179" s="475">
        <f>F178+F170</f>
        <v>340620.00000000006</v>
      </c>
      <c r="G179" s="475">
        <f>G178+G170</f>
        <v>357397</v>
      </c>
    </row>
    <row r="180" spans="1:7">
      <c r="A180" s="478" t="s">
        <v>33</v>
      </c>
      <c r="B180" s="477"/>
      <c r="C180" s="477" t="s">
        <v>32</v>
      </c>
      <c r="D180" s="475">
        <f>D38-D44+D8+D9+D10+D16-D33</f>
        <v>18726.199999999997</v>
      </c>
      <c r="E180" s="475">
        <f>E38-E44+E8+E9+E10+E16-E33</f>
        <v>19194.5</v>
      </c>
      <c r="F180" s="475">
        <f>F38-F44+F8+F9+F10+F16-F33</f>
        <v>20048.900000000001</v>
      </c>
      <c r="G180" s="475">
        <f>G38-G44+G8+G9+G10+G16-G33</f>
        <v>19566</v>
      </c>
    </row>
    <row r="181" spans="1:7" ht="27.6" customHeight="1">
      <c r="A181" s="474" t="s">
        <v>31</v>
      </c>
      <c r="B181" s="472"/>
      <c r="C181" s="472" t="s">
        <v>30</v>
      </c>
      <c r="D181" s="249">
        <f>D22+D23+D24+D25+D26+D29+SUM(D44:D47)+SUM(D49:D53)-D54+D32-D33+SUM(D65:D70)+D72</f>
        <v>309301</v>
      </c>
      <c r="E181" s="249">
        <f>E22+E23+E24+E25+E26+E29+SUM(E44:E47)+SUM(E49:E53)-E54+E32-E33+SUM(E65:E70)+E72</f>
        <v>313752.90000000002</v>
      </c>
      <c r="F181" s="249">
        <f>F22+F23+F24+F25+F26+F29+SUM(F44:F47)+SUM(F49:F53)-F54+F32-F33+SUM(F65:F70)+F72</f>
        <v>311333.8</v>
      </c>
      <c r="G181" s="249">
        <f>G22+G23+G24+G25+G26+G29+SUM(G44:G47)+SUM(G49:G53)-G54+G32-G33+SUM(G65:G70)+G72</f>
        <v>303950</v>
      </c>
    </row>
    <row r="182" spans="1:7">
      <c r="A182" s="473" t="s">
        <v>29</v>
      </c>
      <c r="B182" s="472"/>
      <c r="C182" s="472" t="s">
        <v>28</v>
      </c>
      <c r="D182" s="249">
        <f>D181+D171</f>
        <v>316658.3</v>
      </c>
      <c r="E182" s="249">
        <f>E181+E171</f>
        <v>327648.90000000002</v>
      </c>
      <c r="F182" s="249">
        <f>F181+F171</f>
        <v>324070.2</v>
      </c>
      <c r="G182" s="249">
        <f>G181+G171</f>
        <v>319451</v>
      </c>
    </row>
    <row r="183" spans="1:7">
      <c r="A183" s="473" t="s">
        <v>27</v>
      </c>
      <c r="B183" s="472"/>
      <c r="C183" s="472" t="s">
        <v>26</v>
      </c>
      <c r="D183" s="249">
        <f>D4+D5-D7+D38+D39+D40+D41+D43+D13-D16+D57+D58+D60+D62</f>
        <v>297109.8</v>
      </c>
      <c r="E183" s="249">
        <f>E4+E5-E7+E38+E39+E40+E41+E43+E13-E16+E57+E58+E60+E62</f>
        <v>297955.59999999998</v>
      </c>
      <c r="F183" s="249">
        <f>F4+F5-F7+F38+F39+F40+F41+F43+F13-F16+F57+F58+F60+F62</f>
        <v>293225.2</v>
      </c>
      <c r="G183" s="249">
        <f>G4+G5-G7+G38+G39+G40+G41+G43+G13-G16+G57+G58+G60+G62</f>
        <v>301730</v>
      </c>
    </row>
    <row r="184" spans="1:7">
      <c r="A184" s="473" t="s">
        <v>25</v>
      </c>
      <c r="B184" s="472"/>
      <c r="C184" s="472" t="s">
        <v>24</v>
      </c>
      <c r="D184" s="249">
        <f>D183+D170</f>
        <v>323018.89999999997</v>
      </c>
      <c r="E184" s="249">
        <f>E183+E170</f>
        <v>330449.59999999998</v>
      </c>
      <c r="F184" s="249">
        <f>F183+F170</f>
        <v>319494.10000000003</v>
      </c>
      <c r="G184" s="249">
        <f>G183+G170</f>
        <v>338187</v>
      </c>
    </row>
    <row r="185" spans="1:7">
      <c r="A185" s="473"/>
      <c r="B185" s="472"/>
      <c r="C185" s="472" t="s">
        <v>23</v>
      </c>
      <c r="D185" s="249">
        <f t="shared" ref="D185:G186" si="0">D181-D183</f>
        <v>12191.200000000012</v>
      </c>
      <c r="E185" s="249">
        <f t="shared" si="0"/>
        <v>15797.300000000047</v>
      </c>
      <c r="F185" s="249">
        <f t="shared" si="0"/>
        <v>18108.599999999977</v>
      </c>
      <c r="G185" s="249">
        <f t="shared" si="0"/>
        <v>2220</v>
      </c>
    </row>
    <row r="186" spans="1:7">
      <c r="A186" s="473"/>
      <c r="B186" s="472"/>
      <c r="C186" s="472" t="s">
        <v>22</v>
      </c>
      <c r="D186" s="249">
        <f t="shared" si="0"/>
        <v>-6360.5999999999767</v>
      </c>
      <c r="E186" s="249">
        <f t="shared" si="0"/>
        <v>-2800.6999999999534</v>
      </c>
      <c r="F186" s="249">
        <f t="shared" si="0"/>
        <v>4576.0999999999767</v>
      </c>
      <c r="G186" s="249">
        <f t="shared" si="0"/>
        <v>-18736</v>
      </c>
    </row>
  </sheetData>
  <sheetProtection selectLockedCells="1" sort="0" autoFilter="0" pivotTables="0"/>
  <mergeCells count="2">
    <mergeCell ref="A3:C3"/>
    <mergeCell ref="A81:C81"/>
  </mergeCells>
  <pageMargins left="0.23622047244094491" right="0.23622047244094491" top="0.74803149606299213" bottom="0.74803149606299213" header="0.31496062992125984" footer="0.31496062992125984"/>
  <pageSetup paperSize="9" orientation="landscape" r:id="rId1"/>
  <headerFooter alignWithMargins="0">
    <oddHeader>&amp;LFachgruppe für kantonale Finanzfragen (FkF)
Groupe d'études pour les finances cantonales
&amp;CKanton VD&amp;RZürich, 11.05.2015</oddHeader>
    <oddFooter>&amp;L&amp;F / &amp;A</oddFooter>
  </headerFooter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9">
    <tabColor rgb="FF00B050"/>
  </sheetPr>
  <dimension ref="A1:AK186"/>
  <sheetViews>
    <sheetView zoomScale="115" zoomScaleNormal="115" workbookViewId="0">
      <selection activeCell="G10" sqref="G10"/>
    </sheetView>
  </sheetViews>
  <sheetFormatPr baseColWidth="10" defaultColWidth="11.42578125" defaultRowHeight="12.75"/>
  <cols>
    <col min="1" max="1" width="17.28515625" style="470" customWidth="1"/>
    <col min="2" max="2" width="3.7109375" style="470" customWidth="1"/>
    <col min="3" max="3" width="44.7109375" style="470" customWidth="1"/>
    <col min="4" max="16384" width="11.42578125" style="470"/>
  </cols>
  <sheetData>
    <row r="1" spans="1:37" s="642" customFormat="1" ht="18" customHeight="1">
      <c r="A1" s="647" t="s">
        <v>258</v>
      </c>
      <c r="B1" s="671" t="s">
        <v>496</v>
      </c>
      <c r="C1" s="671" t="s">
        <v>495</v>
      </c>
      <c r="D1" s="643" t="s">
        <v>255</v>
      </c>
      <c r="E1" s="644" t="s">
        <v>254</v>
      </c>
      <c r="F1" s="643" t="s">
        <v>255</v>
      </c>
      <c r="G1" s="644" t="s">
        <v>254</v>
      </c>
      <c r="H1" s="608"/>
      <c r="I1" s="608"/>
      <c r="J1" s="608"/>
      <c r="K1" s="608"/>
      <c r="L1" s="608"/>
      <c r="M1" s="608"/>
      <c r="N1" s="608"/>
      <c r="O1" s="608"/>
      <c r="P1" s="608"/>
      <c r="Q1" s="608"/>
      <c r="R1" s="608"/>
      <c r="S1" s="608"/>
      <c r="T1" s="608"/>
      <c r="U1" s="608"/>
      <c r="V1" s="608"/>
      <c r="W1" s="608"/>
      <c r="X1" s="608"/>
      <c r="Y1" s="608"/>
      <c r="Z1" s="608"/>
      <c r="AA1" s="608"/>
      <c r="AB1" s="608"/>
      <c r="AC1" s="608"/>
      <c r="AD1" s="608"/>
      <c r="AE1" s="608"/>
      <c r="AF1" s="608"/>
      <c r="AG1" s="608"/>
      <c r="AH1" s="608"/>
      <c r="AI1" s="608"/>
      <c r="AJ1" s="608"/>
      <c r="AK1" s="608"/>
    </row>
    <row r="2" spans="1:37" s="636" customFormat="1" ht="15" customHeight="1">
      <c r="A2" s="641"/>
      <c r="B2" s="640"/>
      <c r="C2" s="639" t="s">
        <v>253</v>
      </c>
      <c r="D2" s="637">
        <v>2013</v>
      </c>
      <c r="E2" s="638">
        <v>2014</v>
      </c>
      <c r="F2" s="637">
        <v>2014</v>
      </c>
      <c r="G2" s="638">
        <v>2015</v>
      </c>
    </row>
    <row r="3" spans="1:37" ht="15" customHeight="1">
      <c r="A3" s="949" t="s">
        <v>252</v>
      </c>
      <c r="B3" s="950"/>
      <c r="C3" s="950"/>
      <c r="D3" s="512"/>
      <c r="E3" s="635" t="s">
        <v>251</v>
      </c>
      <c r="F3" s="516"/>
      <c r="G3" s="757"/>
    </row>
    <row r="4" spans="1:37" s="480" customFormat="1" ht="12.75" customHeight="1">
      <c r="A4" s="670">
        <v>30</v>
      </c>
      <c r="B4" s="669"/>
      <c r="C4" s="632" t="s">
        <v>250</v>
      </c>
      <c r="D4" s="411">
        <v>67737.100000000006</v>
      </c>
      <c r="E4" s="453">
        <v>71118.8</v>
      </c>
      <c r="F4" s="411">
        <v>69747</v>
      </c>
      <c r="G4" s="453">
        <v>73666</v>
      </c>
    </row>
    <row r="5" spans="1:37" s="480" customFormat="1" ht="12.75" customHeight="1">
      <c r="A5" s="591">
        <v>31</v>
      </c>
      <c r="B5" s="587"/>
      <c r="C5" s="585" t="s">
        <v>249</v>
      </c>
      <c r="D5" s="317">
        <v>30713.599999999999</v>
      </c>
      <c r="E5" s="361">
        <v>29158.2</v>
      </c>
      <c r="F5" s="317">
        <v>29982</v>
      </c>
      <c r="G5" s="361">
        <v>29733</v>
      </c>
    </row>
    <row r="6" spans="1:37" s="480" customFormat="1" ht="12.75" customHeight="1">
      <c r="A6" s="630" t="s">
        <v>248</v>
      </c>
      <c r="B6" s="586"/>
      <c r="C6" s="616" t="s">
        <v>247</v>
      </c>
      <c r="D6" s="322">
        <v>6914.4</v>
      </c>
      <c r="E6" s="321">
        <v>7270</v>
      </c>
      <c r="F6" s="322">
        <v>7055</v>
      </c>
      <c r="G6" s="361">
        <v>7108</v>
      </c>
    </row>
    <row r="7" spans="1:37" s="480" customFormat="1" ht="12.75" customHeight="1">
      <c r="A7" s="630" t="s">
        <v>246</v>
      </c>
      <c r="B7" s="586"/>
      <c r="C7" s="616" t="s">
        <v>245</v>
      </c>
      <c r="D7" s="322">
        <v>1269.5999999999999</v>
      </c>
      <c r="E7" s="321">
        <v>63</v>
      </c>
      <c r="F7" s="322">
        <v>382</v>
      </c>
      <c r="G7" s="361">
        <v>99</v>
      </c>
    </row>
    <row r="8" spans="1:37" s="480" customFormat="1" ht="12.75" customHeight="1">
      <c r="A8" s="593">
        <v>330</v>
      </c>
      <c r="B8" s="587"/>
      <c r="C8" s="585" t="s">
        <v>244</v>
      </c>
      <c r="D8" s="317">
        <v>4199.7</v>
      </c>
      <c r="E8" s="316">
        <v>9260.4</v>
      </c>
      <c r="F8" s="317">
        <v>5621</v>
      </c>
      <c r="G8" s="361">
        <v>5186</v>
      </c>
    </row>
    <row r="9" spans="1:37" s="480" customFormat="1" ht="12.75" customHeight="1">
      <c r="A9" s="593">
        <v>332</v>
      </c>
      <c r="B9" s="587"/>
      <c r="C9" s="585" t="s">
        <v>243</v>
      </c>
      <c r="D9" s="317">
        <v>180.5</v>
      </c>
      <c r="E9" s="316">
        <v>0</v>
      </c>
      <c r="F9" s="317">
        <v>183</v>
      </c>
      <c r="G9" s="361">
        <v>247</v>
      </c>
    </row>
    <row r="10" spans="1:37" s="480" customFormat="1" ht="12.75" customHeight="1">
      <c r="A10" s="593">
        <v>339</v>
      </c>
      <c r="B10" s="587"/>
      <c r="C10" s="585" t="s">
        <v>242</v>
      </c>
      <c r="D10" s="317">
        <v>0</v>
      </c>
      <c r="E10" s="316">
        <v>0</v>
      </c>
      <c r="F10" s="317">
        <v>0</v>
      </c>
      <c r="G10" s="361">
        <v>0</v>
      </c>
    </row>
    <row r="11" spans="1:37" s="480" customFormat="1" ht="12.75" customHeight="1">
      <c r="A11" s="591">
        <v>350</v>
      </c>
      <c r="B11" s="587"/>
      <c r="C11" s="585" t="s">
        <v>241</v>
      </c>
      <c r="D11" s="317">
        <v>2564.1</v>
      </c>
      <c r="E11" s="316">
        <v>2412</v>
      </c>
      <c r="F11" s="317">
        <v>2512</v>
      </c>
      <c r="G11" s="361">
        <v>2570</v>
      </c>
    </row>
    <row r="12" spans="1:37" s="579" customFormat="1">
      <c r="A12" s="597">
        <v>351</v>
      </c>
      <c r="B12" s="596"/>
      <c r="C12" s="589" t="s">
        <v>240</v>
      </c>
      <c r="D12" s="401">
        <v>2215.4</v>
      </c>
      <c r="E12" s="400">
        <v>1188.3</v>
      </c>
      <c r="F12" s="401">
        <v>19152</v>
      </c>
      <c r="G12" s="361">
        <v>1047</v>
      </c>
    </row>
    <row r="13" spans="1:37" s="480" customFormat="1" ht="12.75" customHeight="1">
      <c r="A13" s="591">
        <v>36</v>
      </c>
      <c r="B13" s="587"/>
      <c r="C13" s="585" t="s">
        <v>239</v>
      </c>
      <c r="D13" s="362">
        <v>168459.4</v>
      </c>
      <c r="E13" s="316">
        <v>168625.3</v>
      </c>
      <c r="F13" s="362">
        <v>180876</v>
      </c>
      <c r="G13" s="361">
        <v>177297</v>
      </c>
    </row>
    <row r="14" spans="1:37" s="480" customFormat="1" ht="12.75" customHeight="1">
      <c r="A14" s="629" t="s">
        <v>238</v>
      </c>
      <c r="B14" s="587"/>
      <c r="C14" s="627" t="s">
        <v>237</v>
      </c>
      <c r="D14" s="362">
        <v>41611</v>
      </c>
      <c r="E14" s="316">
        <v>43478</v>
      </c>
      <c r="F14" s="362">
        <v>45357</v>
      </c>
      <c r="G14" s="361">
        <v>41920</v>
      </c>
    </row>
    <row r="15" spans="1:37" s="480" customFormat="1" ht="12.75" customHeight="1">
      <c r="A15" s="629" t="s">
        <v>236</v>
      </c>
      <c r="B15" s="587"/>
      <c r="C15" s="627" t="s">
        <v>235</v>
      </c>
      <c r="D15" s="362">
        <v>2726.4</v>
      </c>
      <c r="E15" s="316">
        <v>3997.4</v>
      </c>
      <c r="F15" s="362">
        <v>5652</v>
      </c>
      <c r="G15" s="361">
        <v>3896</v>
      </c>
    </row>
    <row r="16" spans="1:37" s="626" customFormat="1" ht="26.25" customHeight="1">
      <c r="A16" s="629" t="s">
        <v>234</v>
      </c>
      <c r="B16" s="668"/>
      <c r="C16" s="627" t="s">
        <v>233</v>
      </c>
      <c r="D16" s="444">
        <v>8144</v>
      </c>
      <c r="E16" s="443">
        <v>5251.8</v>
      </c>
      <c r="F16" s="444">
        <f>94+2+7902</f>
        <v>7998</v>
      </c>
      <c r="G16" s="444">
        <f>8268</f>
        <v>8268</v>
      </c>
    </row>
    <row r="17" spans="1:7" s="622" customFormat="1">
      <c r="A17" s="591">
        <v>37</v>
      </c>
      <c r="B17" s="587"/>
      <c r="C17" s="585" t="s">
        <v>211</v>
      </c>
      <c r="D17" s="362">
        <v>25662.6</v>
      </c>
      <c r="E17" s="430">
        <v>25041.3</v>
      </c>
      <c r="F17" s="362">
        <v>26582</v>
      </c>
      <c r="G17" s="361">
        <v>29325</v>
      </c>
    </row>
    <row r="18" spans="1:7" s="622" customFormat="1">
      <c r="A18" s="617" t="s">
        <v>232</v>
      </c>
      <c r="B18" s="586"/>
      <c r="C18" s="616" t="s">
        <v>231</v>
      </c>
      <c r="D18" s="362">
        <v>801.4</v>
      </c>
      <c r="E18" s="430">
        <v>0</v>
      </c>
      <c r="F18" s="362">
        <v>963</v>
      </c>
      <c r="G18" s="361">
        <v>960</v>
      </c>
    </row>
    <row r="19" spans="1:7" s="622" customFormat="1">
      <c r="A19" s="617" t="s">
        <v>230</v>
      </c>
      <c r="B19" s="586"/>
      <c r="C19" s="616" t="s">
        <v>229</v>
      </c>
      <c r="D19" s="362">
        <v>0</v>
      </c>
      <c r="E19" s="430">
        <v>0</v>
      </c>
      <c r="F19" s="362">
        <v>0</v>
      </c>
      <c r="G19" s="361">
        <v>0</v>
      </c>
    </row>
    <row r="20" spans="1:7" s="480" customFormat="1" ht="12.75" customHeight="1">
      <c r="A20" s="615">
        <v>39</v>
      </c>
      <c r="B20" s="614"/>
      <c r="C20" s="583" t="s">
        <v>228</v>
      </c>
      <c r="D20" s="355">
        <v>9797.9</v>
      </c>
      <c r="E20" s="372">
        <v>10307.299999999999</v>
      </c>
      <c r="F20" s="355">
        <v>10770</v>
      </c>
      <c r="G20" s="354">
        <v>10560</v>
      </c>
    </row>
    <row r="21" spans="1:7" ht="12.75" customHeight="1">
      <c r="A21" s="578"/>
      <c r="B21" s="578"/>
      <c r="C21" s="576" t="s">
        <v>227</v>
      </c>
      <c r="D21" s="380">
        <f>D4+D5+SUM(D8:D13)+D17</f>
        <v>301732.40000000002</v>
      </c>
      <c r="E21" s="380">
        <f>E4+E5+SUM(E8:E13)+E17</f>
        <v>306804.3</v>
      </c>
      <c r="F21" s="380">
        <f>F4+F5+SUM(F8:F13)+F17</f>
        <v>334655</v>
      </c>
      <c r="G21" s="380">
        <f>G4+G5+SUM(G8:G13)+G17</f>
        <v>319071</v>
      </c>
    </row>
    <row r="22" spans="1:7" s="480" customFormat="1" ht="12.75" customHeight="1">
      <c r="A22" s="593" t="s">
        <v>226</v>
      </c>
      <c r="B22" s="587"/>
      <c r="C22" s="585" t="s">
        <v>225</v>
      </c>
      <c r="D22" s="318">
        <v>84273.8</v>
      </c>
      <c r="E22" s="369">
        <v>77860</v>
      </c>
      <c r="F22" s="317">
        <f>79160+11180</f>
        <v>90340</v>
      </c>
      <c r="G22" s="316">
        <f>72830+9190</f>
        <v>82020</v>
      </c>
    </row>
    <row r="23" spans="1:7" s="480" customFormat="1" ht="12.75" customHeight="1">
      <c r="A23" s="593" t="s">
        <v>224</v>
      </c>
      <c r="B23" s="587"/>
      <c r="C23" s="585" t="s">
        <v>223</v>
      </c>
      <c r="D23" s="318">
        <v>14273.7</v>
      </c>
      <c r="E23" s="369">
        <v>13763</v>
      </c>
      <c r="F23" s="317">
        <f>3465+11447</f>
        <v>14912</v>
      </c>
      <c r="G23" s="316">
        <f>2920+11308</f>
        <v>14228</v>
      </c>
    </row>
    <row r="24" spans="1:7" s="621" customFormat="1" ht="12.75" customHeight="1">
      <c r="A24" s="591">
        <v>41</v>
      </c>
      <c r="B24" s="587"/>
      <c r="C24" s="585" t="s">
        <v>222</v>
      </c>
      <c r="D24" s="318">
        <v>13756.4</v>
      </c>
      <c r="E24" s="369">
        <v>11657.8</v>
      </c>
      <c r="F24" s="317">
        <v>8296</v>
      </c>
      <c r="G24" s="316">
        <v>13069</v>
      </c>
    </row>
    <row r="25" spans="1:7" s="480" customFormat="1" ht="12.75" customHeight="1">
      <c r="A25" s="620">
        <v>42</v>
      </c>
      <c r="B25" s="619"/>
      <c r="C25" s="585" t="s">
        <v>221</v>
      </c>
      <c r="D25" s="318">
        <v>33573.800000000003</v>
      </c>
      <c r="E25" s="369">
        <v>30671.8</v>
      </c>
      <c r="F25" s="317">
        <v>39458</v>
      </c>
      <c r="G25" s="316">
        <v>39319</v>
      </c>
    </row>
    <row r="26" spans="1:7" s="618" customFormat="1" ht="12.75" customHeight="1">
      <c r="A26" s="597">
        <v>430</v>
      </c>
      <c r="B26" s="587"/>
      <c r="C26" s="585" t="s">
        <v>220</v>
      </c>
      <c r="D26" s="433">
        <v>53.6</v>
      </c>
      <c r="E26" s="432">
        <v>42.5</v>
      </c>
      <c r="F26" s="431">
        <v>50</v>
      </c>
      <c r="G26" s="430">
        <v>49</v>
      </c>
    </row>
    <row r="27" spans="1:7" s="618" customFormat="1" ht="12.75" customHeight="1">
      <c r="A27" s="597">
        <v>431</v>
      </c>
      <c r="B27" s="587"/>
      <c r="C27" s="585" t="s">
        <v>219</v>
      </c>
      <c r="D27" s="433">
        <v>272.39999999999998</v>
      </c>
      <c r="E27" s="432">
        <v>300</v>
      </c>
      <c r="F27" s="431">
        <v>296</v>
      </c>
      <c r="G27" s="430">
        <v>270</v>
      </c>
    </row>
    <row r="28" spans="1:7" s="618" customFormat="1" ht="12.75" customHeight="1">
      <c r="A28" s="597">
        <v>432</v>
      </c>
      <c r="B28" s="587"/>
      <c r="C28" s="585" t="s">
        <v>218</v>
      </c>
      <c r="D28" s="433">
        <v>-9.6</v>
      </c>
      <c r="E28" s="432">
        <v>0</v>
      </c>
      <c r="F28" s="431">
        <v>0</v>
      </c>
      <c r="G28" s="430">
        <v>0</v>
      </c>
    </row>
    <row r="29" spans="1:7" s="618" customFormat="1" ht="12.75" customHeight="1">
      <c r="A29" s="597">
        <v>439</v>
      </c>
      <c r="B29" s="587"/>
      <c r="C29" s="585" t="s">
        <v>217</v>
      </c>
      <c r="D29" s="433">
        <v>0.2</v>
      </c>
      <c r="E29" s="432">
        <v>0</v>
      </c>
      <c r="F29" s="431">
        <v>0</v>
      </c>
      <c r="G29" s="430">
        <v>0</v>
      </c>
    </row>
    <row r="30" spans="1:7" s="480" customFormat="1" ht="31.15" customHeight="1">
      <c r="A30" s="597">
        <v>450</v>
      </c>
      <c r="B30" s="596"/>
      <c r="C30" s="589" t="s">
        <v>216</v>
      </c>
      <c r="D30" s="362">
        <v>555.5</v>
      </c>
      <c r="E30" s="361">
        <v>523.5</v>
      </c>
      <c r="F30" s="362">
        <v>706</v>
      </c>
      <c r="G30" s="361">
        <v>982</v>
      </c>
    </row>
    <row r="31" spans="1:7" s="579" customFormat="1" ht="29.45" customHeight="1">
      <c r="A31" s="597">
        <v>451</v>
      </c>
      <c r="B31" s="596"/>
      <c r="C31" s="589" t="s">
        <v>215</v>
      </c>
      <c r="D31" s="318">
        <v>2337.3000000000002</v>
      </c>
      <c r="E31" s="369">
        <v>1657.1</v>
      </c>
      <c r="F31" s="317">
        <v>4898</v>
      </c>
      <c r="G31" s="316">
        <v>6078</v>
      </c>
    </row>
    <row r="32" spans="1:7" s="480" customFormat="1" ht="12.75" customHeight="1">
      <c r="A32" s="591">
        <v>46</v>
      </c>
      <c r="B32" s="587"/>
      <c r="C32" s="585" t="s">
        <v>214</v>
      </c>
      <c r="D32" s="318">
        <v>128935.2</v>
      </c>
      <c r="E32" s="369">
        <v>126117.8</v>
      </c>
      <c r="F32" s="317">
        <v>128410</v>
      </c>
      <c r="G32" s="316">
        <v>126520</v>
      </c>
    </row>
    <row r="33" spans="1:7" s="579" customFormat="1" ht="12.75" customHeight="1">
      <c r="A33" s="617" t="s">
        <v>213</v>
      </c>
      <c r="B33" s="586"/>
      <c r="C33" s="616" t="s">
        <v>212</v>
      </c>
      <c r="D33" s="318">
        <v>0</v>
      </c>
      <c r="E33" s="425">
        <v>0</v>
      </c>
      <c r="F33" s="317">
        <v>0</v>
      </c>
      <c r="G33" s="321">
        <v>0</v>
      </c>
    </row>
    <row r="34" spans="1:7" s="480" customFormat="1" ht="15" customHeight="1">
      <c r="A34" s="591">
        <v>47</v>
      </c>
      <c r="B34" s="587"/>
      <c r="C34" s="585" t="s">
        <v>211</v>
      </c>
      <c r="D34" s="318">
        <v>25662.6</v>
      </c>
      <c r="E34" s="369">
        <v>25041.3</v>
      </c>
      <c r="F34" s="317">
        <v>26582</v>
      </c>
      <c r="G34" s="316">
        <v>29325</v>
      </c>
    </row>
    <row r="35" spans="1:7" s="480" customFormat="1" ht="15" customHeight="1">
      <c r="A35" s="615">
        <v>49</v>
      </c>
      <c r="B35" s="614"/>
      <c r="C35" s="583" t="s">
        <v>210</v>
      </c>
      <c r="D35" s="357">
        <v>9797.9</v>
      </c>
      <c r="E35" s="373">
        <v>10307.299999999999</v>
      </c>
      <c r="F35" s="355">
        <v>10770</v>
      </c>
      <c r="G35" s="372">
        <v>10560</v>
      </c>
    </row>
    <row r="36" spans="1:7" ht="13.5" customHeight="1">
      <c r="A36" s="578"/>
      <c r="B36" s="606"/>
      <c r="C36" s="576" t="s">
        <v>209</v>
      </c>
      <c r="D36" s="380">
        <f>D22+D23+D24+D25+D26+D27+D28+D29+D30+D31+D32+D34</f>
        <v>303684.89999999997</v>
      </c>
      <c r="E36" s="380">
        <f>E22+E23+E24+E25+E26+E27+E28+E29+E30+E31+E32+E34</f>
        <v>287634.8</v>
      </c>
      <c r="F36" s="380">
        <f>F22+F23+F24+F25+F26+F27+F28+F29+F30+F31+F32+F34</f>
        <v>313948</v>
      </c>
      <c r="G36" s="380">
        <f>G22+G23+G24+G25+G26+G27+G28+G29+G30+G31+G32+G34</f>
        <v>311860</v>
      </c>
    </row>
    <row r="37" spans="1:7" s="667" customFormat="1" ht="15" customHeight="1">
      <c r="A37" s="578"/>
      <c r="B37" s="606"/>
      <c r="C37" s="576" t="s">
        <v>208</v>
      </c>
      <c r="D37" s="380">
        <f>D36-D21</f>
        <v>1952.4999999999418</v>
      </c>
      <c r="E37" s="380">
        <f>E36-E21</f>
        <v>-19169.5</v>
      </c>
      <c r="F37" s="380">
        <f>F36-F21</f>
        <v>-20707</v>
      </c>
      <c r="G37" s="380">
        <f>G36-G21</f>
        <v>-7211</v>
      </c>
    </row>
    <row r="38" spans="1:7" s="579" customFormat="1" ht="15" customHeight="1">
      <c r="A38" s="593">
        <v>340</v>
      </c>
      <c r="B38" s="587"/>
      <c r="C38" s="585" t="s">
        <v>207</v>
      </c>
      <c r="D38" s="364">
        <v>1629</v>
      </c>
      <c r="E38" s="369">
        <v>1582.5</v>
      </c>
      <c r="F38" s="362">
        <v>940</v>
      </c>
      <c r="G38" s="316">
        <v>1127</v>
      </c>
    </row>
    <row r="39" spans="1:7" s="579" customFormat="1" ht="15" customHeight="1">
      <c r="A39" s="593">
        <v>341</v>
      </c>
      <c r="B39" s="587"/>
      <c r="C39" s="585" t="s">
        <v>206</v>
      </c>
      <c r="D39" s="318">
        <v>0</v>
      </c>
      <c r="E39" s="369">
        <v>0</v>
      </c>
      <c r="F39" s="317">
        <v>17</v>
      </c>
      <c r="G39" s="316">
        <v>0</v>
      </c>
    </row>
    <row r="40" spans="1:7" s="579" customFormat="1" ht="15" customHeight="1">
      <c r="A40" s="593">
        <v>342</v>
      </c>
      <c r="B40" s="587"/>
      <c r="C40" s="585" t="s">
        <v>205</v>
      </c>
      <c r="D40" s="318">
        <v>0</v>
      </c>
      <c r="E40" s="369">
        <v>0</v>
      </c>
      <c r="F40" s="317">
        <v>1041</v>
      </c>
      <c r="G40" s="316">
        <v>0</v>
      </c>
    </row>
    <row r="41" spans="1:7" s="579" customFormat="1" ht="15" customHeight="1">
      <c r="A41" s="593">
        <v>343</v>
      </c>
      <c r="B41" s="587"/>
      <c r="C41" s="585" t="s">
        <v>204</v>
      </c>
      <c r="D41" s="318">
        <v>1209</v>
      </c>
      <c r="E41" s="369">
        <v>515</v>
      </c>
      <c r="F41" s="317">
        <v>626</v>
      </c>
      <c r="G41" s="316">
        <v>742</v>
      </c>
    </row>
    <row r="42" spans="1:7" s="579" customFormat="1" ht="15" customHeight="1">
      <c r="A42" s="593">
        <v>344</v>
      </c>
      <c r="B42" s="587"/>
      <c r="C42" s="585" t="s">
        <v>198</v>
      </c>
      <c r="D42" s="318">
        <v>7852</v>
      </c>
      <c r="E42" s="369">
        <v>0</v>
      </c>
      <c r="F42" s="317">
        <v>11077</v>
      </c>
      <c r="G42" s="316">
        <v>0</v>
      </c>
    </row>
    <row r="43" spans="1:7" s="579" customFormat="1" ht="15" customHeight="1">
      <c r="A43" s="593">
        <v>349</v>
      </c>
      <c r="B43" s="587"/>
      <c r="C43" s="585" t="s">
        <v>203</v>
      </c>
      <c r="D43" s="318">
        <v>8292.9</v>
      </c>
      <c r="E43" s="369">
        <v>6950</v>
      </c>
      <c r="F43" s="317">
        <v>11794</v>
      </c>
      <c r="G43" s="316">
        <v>15750</v>
      </c>
    </row>
    <row r="44" spans="1:7" s="480" customFormat="1" ht="15" customHeight="1">
      <c r="A44" s="591">
        <v>440</v>
      </c>
      <c r="B44" s="587"/>
      <c r="C44" s="585" t="s">
        <v>202</v>
      </c>
      <c r="D44" s="364">
        <v>6375</v>
      </c>
      <c r="E44" s="369">
        <v>6382.1</v>
      </c>
      <c r="F44" s="362">
        <v>6528</v>
      </c>
      <c r="G44" s="316">
        <v>6348</v>
      </c>
    </row>
    <row r="45" spans="1:7" s="480" customFormat="1" ht="15" customHeight="1">
      <c r="A45" s="591">
        <v>441</v>
      </c>
      <c r="B45" s="587"/>
      <c r="C45" s="585" t="s">
        <v>201</v>
      </c>
      <c r="D45" s="364">
        <v>0</v>
      </c>
      <c r="E45" s="369">
        <v>0</v>
      </c>
      <c r="F45" s="362">
        <v>21680</v>
      </c>
      <c r="G45" s="316">
        <v>4000</v>
      </c>
    </row>
    <row r="46" spans="1:7" s="480" customFormat="1" ht="15" customHeight="1">
      <c r="A46" s="591">
        <v>442</v>
      </c>
      <c r="B46" s="587"/>
      <c r="C46" s="585" t="s">
        <v>200</v>
      </c>
      <c r="D46" s="364">
        <v>3880</v>
      </c>
      <c r="E46" s="369">
        <v>4600</v>
      </c>
      <c r="F46" s="362">
        <v>4218</v>
      </c>
      <c r="G46" s="316">
        <v>2800</v>
      </c>
    </row>
    <row r="47" spans="1:7" s="480" customFormat="1" ht="15" customHeight="1">
      <c r="A47" s="591">
        <v>443</v>
      </c>
      <c r="B47" s="587"/>
      <c r="C47" s="585" t="s">
        <v>199</v>
      </c>
      <c r="D47" s="364">
        <v>1310.5999999999999</v>
      </c>
      <c r="E47" s="369">
        <v>1279.2</v>
      </c>
      <c r="F47" s="362">
        <v>1256</v>
      </c>
      <c r="G47" s="316">
        <v>1287</v>
      </c>
    </row>
    <row r="48" spans="1:7" s="480" customFormat="1" ht="15" customHeight="1">
      <c r="A48" s="591">
        <v>444</v>
      </c>
      <c r="B48" s="587"/>
      <c r="C48" s="585" t="s">
        <v>198</v>
      </c>
      <c r="D48" s="364">
        <v>7852</v>
      </c>
      <c r="E48" s="369">
        <v>0</v>
      </c>
      <c r="F48" s="362">
        <v>26809</v>
      </c>
      <c r="G48" s="316">
        <v>0</v>
      </c>
    </row>
    <row r="49" spans="1:7" s="480" customFormat="1" ht="15" customHeight="1">
      <c r="A49" s="591">
        <v>445</v>
      </c>
      <c r="B49" s="587"/>
      <c r="C49" s="585" t="s">
        <v>197</v>
      </c>
      <c r="D49" s="364">
        <v>143.4</v>
      </c>
      <c r="E49" s="369">
        <v>2</v>
      </c>
      <c r="F49" s="362">
        <v>126</v>
      </c>
      <c r="G49" s="316">
        <v>132</v>
      </c>
    </row>
    <row r="50" spans="1:7" s="480" customFormat="1" ht="15" customHeight="1">
      <c r="A50" s="591">
        <v>446</v>
      </c>
      <c r="B50" s="587"/>
      <c r="C50" s="585" t="s">
        <v>196</v>
      </c>
      <c r="D50" s="364">
        <v>5057.3</v>
      </c>
      <c r="E50" s="369">
        <v>4816</v>
      </c>
      <c r="F50" s="362">
        <v>5346</v>
      </c>
      <c r="G50" s="316">
        <v>4916</v>
      </c>
    </row>
    <row r="51" spans="1:7" s="480" customFormat="1" ht="15" customHeight="1">
      <c r="A51" s="591">
        <v>447</v>
      </c>
      <c r="B51" s="587"/>
      <c r="C51" s="585" t="s">
        <v>195</v>
      </c>
      <c r="D51" s="364">
        <v>428.2</v>
      </c>
      <c r="E51" s="369">
        <v>421.5</v>
      </c>
      <c r="F51" s="362">
        <v>406</v>
      </c>
      <c r="G51" s="316">
        <v>415</v>
      </c>
    </row>
    <row r="52" spans="1:7" s="480" customFormat="1" ht="15" customHeight="1">
      <c r="A52" s="591">
        <v>448</v>
      </c>
      <c r="B52" s="587"/>
      <c r="C52" s="585" t="s">
        <v>194</v>
      </c>
      <c r="D52" s="364">
        <v>0</v>
      </c>
      <c r="E52" s="369">
        <v>0</v>
      </c>
      <c r="F52" s="362">
        <v>0</v>
      </c>
      <c r="G52" s="316">
        <v>0</v>
      </c>
    </row>
    <row r="53" spans="1:7" s="480" customFormat="1" ht="15" customHeight="1">
      <c r="A53" s="591">
        <v>449</v>
      </c>
      <c r="B53" s="587"/>
      <c r="C53" s="585" t="s">
        <v>193</v>
      </c>
      <c r="D53" s="364">
        <v>0</v>
      </c>
      <c r="E53" s="369">
        <v>0</v>
      </c>
      <c r="F53" s="362">
        <v>0</v>
      </c>
      <c r="G53" s="316">
        <v>0</v>
      </c>
    </row>
    <row r="54" spans="1:7" s="579" customFormat="1" ht="13.5" customHeight="1">
      <c r="A54" s="607" t="s">
        <v>192</v>
      </c>
      <c r="B54" s="580"/>
      <c r="C54" s="580" t="s">
        <v>191</v>
      </c>
      <c r="D54" s="419">
        <v>0</v>
      </c>
      <c r="E54" s="417">
        <v>0</v>
      </c>
      <c r="F54" s="418">
        <v>0</v>
      </c>
      <c r="G54" s="299">
        <v>0</v>
      </c>
    </row>
    <row r="55" spans="1:7" ht="15" customHeight="1">
      <c r="A55" s="606"/>
      <c r="B55" s="606"/>
      <c r="C55" s="576" t="s">
        <v>55</v>
      </c>
      <c r="D55" s="380">
        <f>SUM(D44:D53)-SUM(D38:D43)</f>
        <v>6063.5999999999985</v>
      </c>
      <c r="E55" s="380">
        <f>SUM(E44:E53)-SUM(E38:E43)</f>
        <v>8453.3000000000029</v>
      </c>
      <c r="F55" s="380">
        <f>SUM(F44:F53)-SUM(F38:F43)</f>
        <v>40874</v>
      </c>
      <c r="G55" s="380">
        <f>SUM(G44:G53)-SUM(G38:G43)</f>
        <v>2279</v>
      </c>
    </row>
    <row r="56" spans="1:7" ht="14.25" customHeight="1">
      <c r="A56" s="606"/>
      <c r="B56" s="606"/>
      <c r="C56" s="576" t="s">
        <v>190</v>
      </c>
      <c r="D56" s="380">
        <f>D55+D37</f>
        <v>8016.0999999999403</v>
      </c>
      <c r="E56" s="380">
        <f>E55+E37</f>
        <v>-10716.199999999997</v>
      </c>
      <c r="F56" s="380">
        <f>F55+F37</f>
        <v>20167</v>
      </c>
      <c r="G56" s="380">
        <f>G55+G37</f>
        <v>-4932</v>
      </c>
    </row>
    <row r="57" spans="1:7" s="480" customFormat="1" ht="15.75" customHeight="1">
      <c r="A57" s="605">
        <v>380</v>
      </c>
      <c r="B57" s="604"/>
      <c r="C57" s="603" t="s">
        <v>189</v>
      </c>
      <c r="D57" s="569">
        <v>0</v>
      </c>
      <c r="E57" s="737">
        <v>0</v>
      </c>
      <c r="F57" s="602">
        <v>0</v>
      </c>
      <c r="G57" s="601">
        <v>0</v>
      </c>
    </row>
    <row r="58" spans="1:7" s="480" customFormat="1" ht="15.75" customHeight="1">
      <c r="A58" s="605">
        <v>381</v>
      </c>
      <c r="B58" s="604"/>
      <c r="C58" s="603" t="s">
        <v>188</v>
      </c>
      <c r="D58" s="569">
        <v>0</v>
      </c>
      <c r="E58" s="737">
        <v>0</v>
      </c>
      <c r="F58" s="602">
        <v>99</v>
      </c>
      <c r="G58" s="601">
        <v>0</v>
      </c>
    </row>
    <row r="59" spans="1:7" s="579" customFormat="1" ht="25.5">
      <c r="A59" s="597">
        <v>383</v>
      </c>
      <c r="B59" s="596"/>
      <c r="C59" s="589" t="s">
        <v>187</v>
      </c>
      <c r="D59" s="410">
        <v>3586.8</v>
      </c>
      <c r="E59" s="394">
        <v>0</v>
      </c>
      <c r="F59" s="409">
        <v>1804</v>
      </c>
      <c r="G59" s="342">
        <v>0</v>
      </c>
    </row>
    <row r="60" spans="1:7" s="579" customFormat="1">
      <c r="A60" s="597">
        <v>3840</v>
      </c>
      <c r="B60" s="596"/>
      <c r="C60" s="589" t="s">
        <v>186</v>
      </c>
      <c r="D60" s="403">
        <v>0</v>
      </c>
      <c r="E60" s="402">
        <v>0</v>
      </c>
      <c r="F60" s="401">
        <v>0</v>
      </c>
      <c r="G60" s="400">
        <v>0</v>
      </c>
    </row>
    <row r="61" spans="1:7" s="579" customFormat="1">
      <c r="A61" s="597">
        <v>3841</v>
      </c>
      <c r="B61" s="596"/>
      <c r="C61" s="589" t="s">
        <v>185</v>
      </c>
      <c r="D61" s="403">
        <v>0</v>
      </c>
      <c r="E61" s="402">
        <v>0</v>
      </c>
      <c r="F61" s="401">
        <v>0</v>
      </c>
      <c r="G61" s="400">
        <v>0</v>
      </c>
    </row>
    <row r="62" spans="1:7" s="579" customFormat="1">
      <c r="A62" s="600">
        <v>386</v>
      </c>
      <c r="B62" s="599"/>
      <c r="C62" s="598" t="s">
        <v>184</v>
      </c>
      <c r="D62" s="403">
        <v>0</v>
      </c>
      <c r="E62" s="402">
        <v>0</v>
      </c>
      <c r="F62" s="401">
        <v>0</v>
      </c>
      <c r="G62" s="400">
        <v>0</v>
      </c>
    </row>
    <row r="63" spans="1:7" s="579" customFormat="1" ht="25.5">
      <c r="A63" s="597">
        <v>387</v>
      </c>
      <c r="B63" s="596"/>
      <c r="C63" s="589" t="s">
        <v>183</v>
      </c>
      <c r="D63" s="403">
        <v>6569.5</v>
      </c>
      <c r="E63" s="402">
        <v>0</v>
      </c>
      <c r="F63" s="401">
        <v>3692</v>
      </c>
      <c r="G63" s="400">
        <v>0</v>
      </c>
    </row>
    <row r="64" spans="1:7" s="579" customFormat="1">
      <c r="A64" s="593">
        <v>389</v>
      </c>
      <c r="B64" s="592"/>
      <c r="C64" s="585" t="s">
        <v>182</v>
      </c>
      <c r="D64" s="318">
        <v>260.89999999999998</v>
      </c>
      <c r="E64" s="369">
        <v>300</v>
      </c>
      <c r="F64" s="317">
        <v>305</v>
      </c>
      <c r="G64" s="316">
        <v>0</v>
      </c>
    </row>
    <row r="65" spans="1:7" s="480" customFormat="1">
      <c r="A65" s="593" t="s">
        <v>181</v>
      </c>
      <c r="B65" s="587"/>
      <c r="C65" s="585" t="s">
        <v>180</v>
      </c>
      <c r="D65" s="318">
        <v>0</v>
      </c>
      <c r="E65" s="369">
        <v>0</v>
      </c>
      <c r="F65" s="317">
        <v>0</v>
      </c>
      <c r="G65" s="316">
        <v>0</v>
      </c>
    </row>
    <row r="66" spans="1:7" s="588" customFormat="1">
      <c r="A66" s="666" t="s">
        <v>179</v>
      </c>
      <c r="B66" s="590"/>
      <c r="C66" s="589" t="s">
        <v>178</v>
      </c>
      <c r="D66" s="344">
        <v>0</v>
      </c>
      <c r="E66" s="394">
        <v>0</v>
      </c>
      <c r="F66" s="343">
        <v>0</v>
      </c>
      <c r="G66" s="342">
        <v>0</v>
      </c>
    </row>
    <row r="67" spans="1:7" s="480" customFormat="1">
      <c r="A67" s="584">
        <v>481</v>
      </c>
      <c r="B67" s="587"/>
      <c r="C67" s="585" t="s">
        <v>177</v>
      </c>
      <c r="D67" s="318">
        <v>0</v>
      </c>
      <c r="E67" s="369">
        <v>0</v>
      </c>
      <c r="F67" s="317">
        <v>0</v>
      </c>
      <c r="G67" s="316">
        <v>0</v>
      </c>
    </row>
    <row r="68" spans="1:7" s="480" customFormat="1">
      <c r="A68" s="584">
        <v>482</v>
      </c>
      <c r="B68" s="587"/>
      <c r="C68" s="585" t="s">
        <v>176</v>
      </c>
      <c r="D68" s="318">
        <v>0</v>
      </c>
      <c r="E68" s="369">
        <v>0</v>
      </c>
      <c r="F68" s="317">
        <v>0</v>
      </c>
      <c r="G68" s="316">
        <v>0</v>
      </c>
    </row>
    <row r="69" spans="1:7" s="480" customFormat="1">
      <c r="A69" s="584">
        <v>483</v>
      </c>
      <c r="B69" s="587"/>
      <c r="C69" s="585" t="s">
        <v>175</v>
      </c>
      <c r="D69" s="318">
        <v>0</v>
      </c>
      <c r="E69" s="369">
        <v>0</v>
      </c>
      <c r="F69" s="317">
        <v>0</v>
      </c>
      <c r="G69" s="316">
        <v>0</v>
      </c>
    </row>
    <row r="70" spans="1:7" s="480" customFormat="1">
      <c r="A70" s="584">
        <v>484</v>
      </c>
      <c r="B70" s="587"/>
      <c r="C70" s="585" t="s">
        <v>174</v>
      </c>
      <c r="D70" s="318">
        <v>0</v>
      </c>
      <c r="E70" s="369">
        <v>0</v>
      </c>
      <c r="F70" s="317">
        <v>0</v>
      </c>
      <c r="G70" s="316">
        <v>0</v>
      </c>
    </row>
    <row r="71" spans="1:7" s="480" customFormat="1">
      <c r="A71" s="584">
        <v>485</v>
      </c>
      <c r="B71" s="587"/>
      <c r="C71" s="585" t="s">
        <v>173</v>
      </c>
      <c r="D71" s="318">
        <v>0</v>
      </c>
      <c r="E71" s="369">
        <v>0</v>
      </c>
      <c r="F71" s="317">
        <v>0</v>
      </c>
      <c r="G71" s="316">
        <v>0</v>
      </c>
    </row>
    <row r="72" spans="1:7" s="480" customFormat="1">
      <c r="A72" s="584">
        <v>486</v>
      </c>
      <c r="B72" s="587"/>
      <c r="C72" s="585" t="s">
        <v>172</v>
      </c>
      <c r="D72" s="318">
        <v>0</v>
      </c>
      <c r="E72" s="369">
        <v>0</v>
      </c>
      <c r="F72" s="317">
        <v>237</v>
      </c>
      <c r="G72" s="316">
        <v>0</v>
      </c>
    </row>
    <row r="73" spans="1:7" s="579" customFormat="1">
      <c r="A73" s="584">
        <v>487</v>
      </c>
      <c r="B73" s="586"/>
      <c r="C73" s="585" t="s">
        <v>171</v>
      </c>
      <c r="D73" s="364">
        <v>0</v>
      </c>
      <c r="E73" s="369">
        <v>0</v>
      </c>
      <c r="F73" s="362">
        <v>0</v>
      </c>
      <c r="G73" s="316">
        <v>0</v>
      </c>
    </row>
    <row r="74" spans="1:7" s="579" customFormat="1">
      <c r="A74" s="584">
        <v>489</v>
      </c>
      <c r="B74" s="581"/>
      <c r="C74" s="583" t="s">
        <v>170</v>
      </c>
      <c r="D74" s="364">
        <v>3587.6</v>
      </c>
      <c r="E74" s="369">
        <v>85.2</v>
      </c>
      <c r="F74" s="362">
        <v>83</v>
      </c>
      <c r="G74" s="316">
        <v>69</v>
      </c>
    </row>
    <row r="75" spans="1:7" s="579" customFormat="1">
      <c r="A75" s="582" t="s">
        <v>169</v>
      </c>
      <c r="B75" s="581"/>
      <c r="C75" s="580" t="s">
        <v>168</v>
      </c>
      <c r="D75" s="318"/>
      <c r="E75" s="369"/>
      <c r="F75" s="317">
        <v>0</v>
      </c>
      <c r="G75" s="316"/>
    </row>
    <row r="76" spans="1:7">
      <c r="A76" s="578"/>
      <c r="B76" s="578"/>
      <c r="C76" s="576" t="s">
        <v>167</v>
      </c>
      <c r="D76" s="380">
        <f>SUM(D65:D74)-SUM(D57:D64)</f>
        <v>-6829.5999999999985</v>
      </c>
      <c r="E76" s="380">
        <f>SUM(E65:E74)-SUM(E57:E64)</f>
        <v>-214.8</v>
      </c>
      <c r="F76" s="380">
        <f>SUM(F65:F74)-SUM(F57:F64)</f>
        <v>-5580</v>
      </c>
      <c r="G76" s="380">
        <f>SUM(G65:G74)-SUM(G57:G64)</f>
        <v>69</v>
      </c>
    </row>
    <row r="77" spans="1:7">
      <c r="A77" s="577"/>
      <c r="B77" s="577"/>
      <c r="C77" s="576" t="s">
        <v>166</v>
      </c>
      <c r="D77" s="380">
        <f>D56+D76</f>
        <v>1186.4999999999418</v>
      </c>
      <c r="E77" s="380">
        <f>E56+E76</f>
        <v>-10930.999999999996</v>
      </c>
      <c r="F77" s="380">
        <f>F56+F76</f>
        <v>14587</v>
      </c>
      <c r="G77" s="380">
        <f>G56+G76</f>
        <v>-4863</v>
      </c>
    </row>
    <row r="78" spans="1:7">
      <c r="A78" s="575">
        <v>3</v>
      </c>
      <c r="B78" s="575"/>
      <c r="C78" s="574" t="s">
        <v>165</v>
      </c>
      <c r="D78" s="377">
        <f>D20+D21+SUM(D38:D43)+SUM(D57:D64)</f>
        <v>340930.40000000008</v>
      </c>
      <c r="E78" s="377">
        <f>E20+E21+SUM(E38:E43)+SUM(E57:E64)</f>
        <v>326459.09999999998</v>
      </c>
      <c r="F78" s="377">
        <f>F20+F21+SUM(F38:F43)+SUM(F57:F64)</f>
        <v>376820</v>
      </c>
      <c r="G78" s="377">
        <f>G20+G21+SUM(G38:G43)+SUM(G57:G64)</f>
        <v>347250</v>
      </c>
    </row>
    <row r="79" spans="1:7">
      <c r="A79" s="575">
        <v>4</v>
      </c>
      <c r="B79" s="575"/>
      <c r="C79" s="574" t="s">
        <v>164</v>
      </c>
      <c r="D79" s="377">
        <f>D35+D36+SUM(D44:D53)+SUM(D65:D74)</f>
        <v>342116.89999999997</v>
      </c>
      <c r="E79" s="377">
        <f>E35+E36+SUM(E44:E53)+SUM(E65:E74)</f>
        <v>315528.09999999998</v>
      </c>
      <c r="F79" s="377">
        <f>F35+F36+SUM(F44:F53)+SUM(F65:F74)</f>
        <v>391407</v>
      </c>
      <c r="G79" s="377">
        <f>G35+G36+SUM(G44:G53)+SUM(G65:G74)</f>
        <v>342387</v>
      </c>
    </row>
    <row r="80" spans="1:7">
      <c r="A80" s="534"/>
      <c r="B80" s="534"/>
      <c r="C80" s="533"/>
      <c r="D80" s="260"/>
      <c r="E80" s="260"/>
      <c r="F80" s="260"/>
      <c r="G80" s="260"/>
    </row>
    <row r="81" spans="1:7">
      <c r="A81" s="951" t="s">
        <v>163</v>
      </c>
      <c r="B81" s="952"/>
      <c r="C81" s="952"/>
      <c r="D81" s="376"/>
      <c r="E81" s="375"/>
      <c r="F81" s="376"/>
      <c r="G81" s="375"/>
    </row>
    <row r="82" spans="1:7" s="480" customFormat="1">
      <c r="A82" s="567">
        <v>50</v>
      </c>
      <c r="B82" s="565"/>
      <c r="C82" s="565" t="s">
        <v>162</v>
      </c>
      <c r="D82" s="318">
        <v>12517.4</v>
      </c>
      <c r="E82" s="369">
        <v>13784.5</v>
      </c>
      <c r="F82" s="317">
        <v>12923</v>
      </c>
      <c r="G82" s="316">
        <v>11118</v>
      </c>
    </row>
    <row r="83" spans="1:7" s="480" customFormat="1">
      <c r="A83" s="567">
        <v>51</v>
      </c>
      <c r="B83" s="565"/>
      <c r="C83" s="565" t="s">
        <v>161</v>
      </c>
      <c r="D83" s="318">
        <v>0</v>
      </c>
      <c r="E83" s="369">
        <v>0</v>
      </c>
      <c r="F83" s="317">
        <v>0</v>
      </c>
      <c r="G83" s="316">
        <v>0</v>
      </c>
    </row>
    <row r="84" spans="1:7" s="480" customFormat="1">
      <c r="A84" s="567">
        <v>52</v>
      </c>
      <c r="B84" s="565"/>
      <c r="C84" s="565" t="s">
        <v>160</v>
      </c>
      <c r="D84" s="318">
        <v>900.3</v>
      </c>
      <c r="E84" s="369">
        <v>682.5</v>
      </c>
      <c r="F84" s="317">
        <v>651</v>
      </c>
      <c r="G84" s="316">
        <v>563</v>
      </c>
    </row>
    <row r="85" spans="1:7" s="480" customFormat="1">
      <c r="A85" s="567">
        <v>54</v>
      </c>
      <c r="B85" s="565"/>
      <c r="C85" s="565" t="s">
        <v>117</v>
      </c>
      <c r="D85" s="318">
        <v>9.1999999999999993</v>
      </c>
      <c r="E85" s="369">
        <v>575</v>
      </c>
      <c r="F85" s="317">
        <v>1650</v>
      </c>
      <c r="G85" s="316">
        <v>75</v>
      </c>
    </row>
    <row r="86" spans="1:7" s="480" customFormat="1">
      <c r="A86" s="567">
        <v>55</v>
      </c>
      <c r="B86" s="565"/>
      <c r="C86" s="565" t="s">
        <v>159</v>
      </c>
      <c r="D86" s="318">
        <v>0</v>
      </c>
      <c r="E86" s="369">
        <v>0</v>
      </c>
      <c r="F86" s="317">
        <v>8450</v>
      </c>
      <c r="G86" s="316">
        <v>0</v>
      </c>
    </row>
    <row r="87" spans="1:7" s="480" customFormat="1">
      <c r="A87" s="567">
        <v>56</v>
      </c>
      <c r="B87" s="565"/>
      <c r="C87" s="565" t="s">
        <v>158</v>
      </c>
      <c r="D87" s="318">
        <v>9214.2999999999993</v>
      </c>
      <c r="E87" s="369">
        <v>14883.9</v>
      </c>
      <c r="F87" s="317">
        <v>11734</v>
      </c>
      <c r="G87" s="316">
        <v>17078</v>
      </c>
    </row>
    <row r="88" spans="1:7" s="480" customFormat="1">
      <c r="A88" s="567">
        <v>57</v>
      </c>
      <c r="B88" s="565"/>
      <c r="C88" s="565" t="s">
        <v>143</v>
      </c>
      <c r="D88" s="318">
        <v>6350.5</v>
      </c>
      <c r="E88" s="369">
        <v>2225</v>
      </c>
      <c r="F88" s="317">
        <v>1961</v>
      </c>
      <c r="G88" s="316">
        <v>2475</v>
      </c>
    </row>
    <row r="89" spans="1:7" s="480" customFormat="1">
      <c r="A89" s="567">
        <v>580</v>
      </c>
      <c r="B89" s="565"/>
      <c r="C89" s="565" t="s">
        <v>157</v>
      </c>
      <c r="D89" s="318">
        <v>0</v>
      </c>
      <c r="E89" s="369">
        <v>0</v>
      </c>
      <c r="F89" s="317">
        <v>0</v>
      </c>
      <c r="G89" s="316">
        <v>0</v>
      </c>
    </row>
    <row r="90" spans="1:7" s="480" customFormat="1">
      <c r="A90" s="567">
        <v>582</v>
      </c>
      <c r="B90" s="565"/>
      <c r="C90" s="565" t="s">
        <v>156</v>
      </c>
      <c r="D90" s="318">
        <v>0</v>
      </c>
      <c r="E90" s="369">
        <v>0</v>
      </c>
      <c r="F90" s="317">
        <v>0</v>
      </c>
      <c r="G90" s="316">
        <v>0</v>
      </c>
    </row>
    <row r="91" spans="1:7" s="480" customFormat="1">
      <c r="A91" s="567">
        <v>584</v>
      </c>
      <c r="B91" s="565"/>
      <c r="C91" s="565" t="s">
        <v>155</v>
      </c>
      <c r="D91" s="318">
        <v>0</v>
      </c>
      <c r="E91" s="369">
        <v>0</v>
      </c>
      <c r="F91" s="317">
        <v>0</v>
      </c>
      <c r="G91" s="316">
        <v>0</v>
      </c>
    </row>
    <row r="92" spans="1:7" s="480" customFormat="1">
      <c r="A92" s="567">
        <v>585</v>
      </c>
      <c r="B92" s="565"/>
      <c r="C92" s="565" t="s">
        <v>154</v>
      </c>
      <c r="D92" s="318">
        <v>0</v>
      </c>
      <c r="E92" s="369">
        <v>0</v>
      </c>
      <c r="F92" s="317">
        <v>0</v>
      </c>
      <c r="G92" s="316">
        <v>0</v>
      </c>
    </row>
    <row r="93" spans="1:7" s="480" customFormat="1">
      <c r="A93" s="567">
        <v>586</v>
      </c>
      <c r="B93" s="565"/>
      <c r="C93" s="565" t="s">
        <v>153</v>
      </c>
      <c r="D93" s="318">
        <v>0</v>
      </c>
      <c r="E93" s="369">
        <v>0</v>
      </c>
      <c r="F93" s="317">
        <v>0</v>
      </c>
      <c r="G93" s="316">
        <v>0</v>
      </c>
    </row>
    <row r="94" spans="1:7" s="480" customFormat="1">
      <c r="A94" s="568">
        <v>589</v>
      </c>
      <c r="B94" s="561"/>
      <c r="C94" s="561" t="s">
        <v>152</v>
      </c>
      <c r="D94" s="334">
        <v>0</v>
      </c>
      <c r="E94" s="373">
        <v>0</v>
      </c>
      <c r="F94" s="333">
        <v>0</v>
      </c>
      <c r="G94" s="372">
        <v>0</v>
      </c>
    </row>
    <row r="95" spans="1:7">
      <c r="A95" s="557">
        <v>5</v>
      </c>
      <c r="B95" s="555"/>
      <c r="C95" s="555" t="s">
        <v>151</v>
      </c>
      <c r="D95" s="348">
        <f>SUM(D82:D94)</f>
        <v>28991.699999999997</v>
      </c>
      <c r="E95" s="348">
        <f>SUM(E82:E94)</f>
        <v>32150.9</v>
      </c>
      <c r="F95" s="348">
        <f>SUM(F82:F94)</f>
        <v>37369</v>
      </c>
      <c r="G95" s="348">
        <f>SUM(G82:G94)</f>
        <v>31309</v>
      </c>
    </row>
    <row r="96" spans="1:7" s="480" customFormat="1">
      <c r="A96" s="567">
        <v>60</v>
      </c>
      <c r="B96" s="565"/>
      <c r="C96" s="565" t="s">
        <v>150</v>
      </c>
      <c r="D96" s="318">
        <v>0</v>
      </c>
      <c r="E96" s="369">
        <v>0</v>
      </c>
      <c r="F96" s="317">
        <v>0</v>
      </c>
      <c r="G96" s="316">
        <v>0</v>
      </c>
    </row>
    <row r="97" spans="1:7" s="480" customFormat="1">
      <c r="A97" s="567">
        <v>61</v>
      </c>
      <c r="B97" s="565"/>
      <c r="C97" s="565" t="s">
        <v>149</v>
      </c>
      <c r="D97" s="318">
        <v>0</v>
      </c>
      <c r="E97" s="369">
        <v>0</v>
      </c>
      <c r="F97" s="317">
        <v>58</v>
      </c>
      <c r="G97" s="316">
        <v>0</v>
      </c>
    </row>
    <row r="98" spans="1:7" s="480" customFormat="1">
      <c r="A98" s="567">
        <v>62</v>
      </c>
      <c r="B98" s="565"/>
      <c r="C98" s="565" t="s">
        <v>148</v>
      </c>
      <c r="D98" s="318">
        <v>0</v>
      </c>
      <c r="E98" s="369">
        <v>0</v>
      </c>
      <c r="F98" s="317">
        <v>0</v>
      </c>
      <c r="G98" s="316">
        <v>0</v>
      </c>
    </row>
    <row r="99" spans="1:7" s="480" customFormat="1">
      <c r="A99" s="567">
        <v>63</v>
      </c>
      <c r="B99" s="565"/>
      <c r="C99" s="565" t="s">
        <v>147</v>
      </c>
      <c r="D99" s="318">
        <v>9630.6</v>
      </c>
      <c r="E99" s="369">
        <v>7540.8</v>
      </c>
      <c r="F99" s="317">
        <v>9175</v>
      </c>
      <c r="G99" s="316">
        <v>10430</v>
      </c>
    </row>
    <row r="100" spans="1:7" s="480" customFormat="1">
      <c r="A100" s="567">
        <v>64</v>
      </c>
      <c r="B100" s="565"/>
      <c r="C100" s="565" t="s">
        <v>146</v>
      </c>
      <c r="D100" s="318">
        <v>397.9</v>
      </c>
      <c r="E100" s="369">
        <v>570</v>
      </c>
      <c r="F100" s="317">
        <v>3641</v>
      </c>
      <c r="G100" s="316">
        <v>410</v>
      </c>
    </row>
    <row r="101" spans="1:7" s="480" customFormat="1">
      <c r="A101" s="567">
        <v>65</v>
      </c>
      <c r="B101" s="565"/>
      <c r="C101" s="565" t="s">
        <v>145</v>
      </c>
      <c r="D101" s="318">
        <v>0</v>
      </c>
      <c r="E101" s="369">
        <v>0</v>
      </c>
      <c r="F101" s="317">
        <v>1004</v>
      </c>
      <c r="G101" s="316">
        <v>0</v>
      </c>
    </row>
    <row r="102" spans="1:7" s="480" customFormat="1">
      <c r="A102" s="567">
        <v>66</v>
      </c>
      <c r="B102" s="565"/>
      <c r="C102" s="565" t="s">
        <v>144</v>
      </c>
      <c r="D102" s="318">
        <v>0</v>
      </c>
      <c r="E102" s="369">
        <v>0</v>
      </c>
      <c r="F102" s="317">
        <v>0</v>
      </c>
      <c r="G102" s="316">
        <v>0</v>
      </c>
    </row>
    <row r="103" spans="1:7" s="480" customFormat="1">
      <c r="A103" s="567">
        <v>67</v>
      </c>
      <c r="B103" s="565"/>
      <c r="C103" s="565" t="s">
        <v>143</v>
      </c>
      <c r="D103" s="364">
        <v>6350.5</v>
      </c>
      <c r="E103" s="363">
        <v>2225</v>
      </c>
      <c r="F103" s="362">
        <v>1961</v>
      </c>
      <c r="G103" s="361">
        <v>2475</v>
      </c>
    </row>
    <row r="104" spans="1:7" s="588" customFormat="1" ht="25.5">
      <c r="A104" s="566" t="s">
        <v>142</v>
      </c>
      <c r="B104" s="725"/>
      <c r="C104" s="564" t="s">
        <v>141</v>
      </c>
      <c r="D104" s="344"/>
      <c r="E104" s="394">
        <v>0</v>
      </c>
      <c r="F104" s="343">
        <v>0</v>
      </c>
      <c r="G104" s="342">
        <v>0</v>
      </c>
    </row>
    <row r="105" spans="1:7" s="588" customFormat="1" ht="38.25">
      <c r="A105" s="562" t="s">
        <v>140</v>
      </c>
      <c r="B105" s="721"/>
      <c r="C105" s="560" t="s">
        <v>139</v>
      </c>
      <c r="D105" s="800"/>
      <c r="E105" s="799">
        <v>0</v>
      </c>
      <c r="F105" s="798">
        <v>0</v>
      </c>
      <c r="G105" s="797">
        <v>0</v>
      </c>
    </row>
    <row r="106" spans="1:7">
      <c r="A106" s="557">
        <v>6</v>
      </c>
      <c r="B106" s="555"/>
      <c r="C106" s="555" t="s">
        <v>138</v>
      </c>
      <c r="D106" s="348">
        <f>SUM(D96:D105)</f>
        <v>16379</v>
      </c>
      <c r="E106" s="348">
        <f>SUM(E96:E105)</f>
        <v>10335.799999999999</v>
      </c>
      <c r="F106" s="348">
        <f>SUM(F96:F105)</f>
        <v>15839</v>
      </c>
      <c r="G106" s="348">
        <f>SUM(G96:G105)</f>
        <v>13315</v>
      </c>
    </row>
    <row r="107" spans="1:7">
      <c r="A107" s="556" t="s">
        <v>137</v>
      </c>
      <c r="B107" s="556"/>
      <c r="C107" s="555" t="s">
        <v>3</v>
      </c>
      <c r="D107" s="348">
        <f>(D95-D88)-(D106-D103)</f>
        <v>12612.699999999997</v>
      </c>
      <c r="E107" s="348">
        <f>(E95-E88)-(E106-E103)</f>
        <v>21815.100000000002</v>
      </c>
      <c r="F107" s="348">
        <f>(F95-F88)-(F106-F103)</f>
        <v>21530</v>
      </c>
      <c r="G107" s="348">
        <f>(G95-G88)-(G106-G103)</f>
        <v>17994</v>
      </c>
    </row>
    <row r="108" spans="1:7">
      <c r="A108" s="554" t="s">
        <v>136</v>
      </c>
      <c r="B108" s="554"/>
      <c r="C108" s="553" t="s">
        <v>135</v>
      </c>
      <c r="D108" s="348">
        <f>ROUND(D107-D85-D86+D100+D101,0)</f>
        <v>13001</v>
      </c>
      <c r="E108" s="348">
        <f>ROUND(E107-E85-E86+E100+E101,0)</f>
        <v>21810</v>
      </c>
      <c r="F108" s="348">
        <f>ROUND(F107-F85-F86+F100+F101,0)</f>
        <v>16075</v>
      </c>
      <c r="G108" s="348">
        <f>ROUND(G107-G85-G86+G100+G101,0)</f>
        <v>18329</v>
      </c>
    </row>
    <row r="109" spans="1:7">
      <c r="A109" s="534"/>
      <c r="B109" s="534"/>
      <c r="C109" s="533"/>
      <c r="D109" s="260"/>
      <c r="E109" s="260"/>
      <c r="F109" s="260"/>
      <c r="G109" s="260"/>
    </row>
    <row r="110" spans="1:7" s="512" customFormat="1">
      <c r="A110" s="550" t="s">
        <v>134</v>
      </c>
      <c r="B110" s="551"/>
      <c r="C110" s="550"/>
      <c r="D110" s="260"/>
      <c r="E110" s="260"/>
      <c r="F110" s="260"/>
      <c r="G110" s="260"/>
    </row>
    <row r="111" spans="1:7" s="516" customFormat="1">
      <c r="A111" s="532">
        <v>10</v>
      </c>
      <c r="B111" s="531"/>
      <c r="C111" s="531" t="s">
        <v>133</v>
      </c>
      <c r="D111" s="327">
        <f>D112+D117</f>
        <v>372025.92000000004</v>
      </c>
      <c r="E111" s="326">
        <f>E112+E117</f>
        <v>0</v>
      </c>
      <c r="F111" s="327">
        <f>F112+F117</f>
        <v>381364</v>
      </c>
      <c r="G111" s="326">
        <f>G112+G117</f>
        <v>0</v>
      </c>
    </row>
    <row r="112" spans="1:7" s="516" customFormat="1">
      <c r="A112" s="539" t="s">
        <v>132</v>
      </c>
      <c r="B112" s="519"/>
      <c r="C112" s="519" t="s">
        <v>131</v>
      </c>
      <c r="D112" s="327">
        <f>D113+D114+D115+D116</f>
        <v>88641.4</v>
      </c>
      <c r="E112" s="326">
        <f>E113+E114+E115+E116</f>
        <v>0</v>
      </c>
      <c r="F112" s="327">
        <f>F113+F114+F115+F116</f>
        <v>89494</v>
      </c>
      <c r="G112" s="326">
        <f>G113+G114+G115+G116</f>
        <v>0</v>
      </c>
    </row>
    <row r="113" spans="1:7" s="516" customFormat="1">
      <c r="A113" s="537" t="s">
        <v>130</v>
      </c>
      <c r="B113" s="526"/>
      <c r="C113" s="526" t="s">
        <v>129</v>
      </c>
      <c r="D113" s="317">
        <v>79002</v>
      </c>
      <c r="E113" s="316"/>
      <c r="F113" s="317">
        <f>11069+75339</f>
        <v>86408</v>
      </c>
      <c r="G113" s="316"/>
    </row>
    <row r="114" spans="1:7" s="546" customFormat="1" ht="15" customHeight="1">
      <c r="A114" s="524">
        <v>102</v>
      </c>
      <c r="B114" s="665"/>
      <c r="C114" s="665" t="s">
        <v>128</v>
      </c>
      <c r="D114" s="343">
        <v>0</v>
      </c>
      <c r="E114" s="342"/>
      <c r="F114" s="343">
        <v>0</v>
      </c>
      <c r="G114" s="342"/>
    </row>
    <row r="115" spans="1:7" s="516" customFormat="1">
      <c r="A115" s="537">
        <v>104</v>
      </c>
      <c r="B115" s="526"/>
      <c r="C115" s="526" t="s">
        <v>127</v>
      </c>
      <c r="D115" s="317">
        <v>9639.4</v>
      </c>
      <c r="E115" s="316"/>
      <c r="F115" s="317">
        <v>3086</v>
      </c>
      <c r="G115" s="316"/>
    </row>
    <row r="116" spans="1:7" s="516" customFormat="1">
      <c r="A116" s="537">
        <v>106</v>
      </c>
      <c r="B116" s="526"/>
      <c r="C116" s="526" t="s">
        <v>126</v>
      </c>
      <c r="D116" s="317">
        <v>0</v>
      </c>
      <c r="E116" s="316"/>
      <c r="F116" s="317">
        <v>0</v>
      </c>
      <c r="G116" s="316"/>
    </row>
    <row r="117" spans="1:7" s="516" customFormat="1">
      <c r="A117" s="539" t="s">
        <v>125</v>
      </c>
      <c r="B117" s="519"/>
      <c r="C117" s="519" t="s">
        <v>124</v>
      </c>
      <c r="D117" s="327">
        <f>D118+D119+D120</f>
        <v>283384.52</v>
      </c>
      <c r="E117" s="326">
        <f>E118+E119+E120</f>
        <v>0</v>
      </c>
      <c r="F117" s="327">
        <f>F118+F119+F120</f>
        <v>291870</v>
      </c>
      <c r="G117" s="326">
        <f>G118+G119+G120</f>
        <v>0</v>
      </c>
    </row>
    <row r="118" spans="1:7" s="516" customFormat="1">
      <c r="A118" s="537">
        <v>107</v>
      </c>
      <c r="B118" s="526"/>
      <c r="C118" s="526" t="s">
        <v>123</v>
      </c>
      <c r="D118" s="317">
        <v>269535.32</v>
      </c>
      <c r="E118" s="316"/>
      <c r="F118" s="317">
        <v>272844</v>
      </c>
      <c r="G118" s="316"/>
    </row>
    <row r="119" spans="1:7" s="516" customFormat="1">
      <c r="A119" s="537">
        <v>108</v>
      </c>
      <c r="B119" s="526"/>
      <c r="C119" s="526" t="s">
        <v>122</v>
      </c>
      <c r="D119" s="317">
        <v>13849.2</v>
      </c>
      <c r="E119" s="316"/>
      <c r="F119" s="317">
        <v>19026</v>
      </c>
      <c r="G119" s="316"/>
    </row>
    <row r="120" spans="1:7" s="538" customFormat="1" ht="25.5">
      <c r="A120" s="524">
        <v>109</v>
      </c>
      <c r="B120" s="523"/>
      <c r="C120" s="523" t="s">
        <v>121</v>
      </c>
      <c r="D120" s="311">
        <v>0</v>
      </c>
      <c r="E120" s="310"/>
      <c r="F120" s="311">
        <v>0</v>
      </c>
      <c r="G120" s="310"/>
    </row>
    <row r="121" spans="1:7" s="516" customFormat="1">
      <c r="A121" s="539">
        <v>14</v>
      </c>
      <c r="B121" s="519"/>
      <c r="C121" s="519" t="s">
        <v>120</v>
      </c>
      <c r="D121" s="327">
        <f>SUM(D122:D130)</f>
        <v>192276.30000000002</v>
      </c>
      <c r="E121" s="327">
        <f>SUM(E122:E130)</f>
        <v>0</v>
      </c>
      <c r="F121" s="327">
        <f>SUM(F122:F130)</f>
        <v>195139</v>
      </c>
      <c r="G121" s="327">
        <f>SUM(G122:G130)</f>
        <v>0</v>
      </c>
    </row>
    <row r="122" spans="1:7" s="516" customFormat="1">
      <c r="A122" s="537" t="s">
        <v>119</v>
      </c>
      <c r="B122" s="526"/>
      <c r="C122" s="526" t="s">
        <v>118</v>
      </c>
      <c r="D122" s="317">
        <v>19897</v>
      </c>
      <c r="E122" s="316"/>
      <c r="F122" s="317">
        <f>20265+122</f>
        <v>20387</v>
      </c>
      <c r="G122" s="316"/>
    </row>
    <row r="123" spans="1:7" s="516" customFormat="1">
      <c r="A123" s="537">
        <v>144</v>
      </c>
      <c r="B123" s="526"/>
      <c r="C123" s="526" t="s">
        <v>117</v>
      </c>
      <c r="D123" s="317">
        <v>28239.3</v>
      </c>
      <c r="E123" s="316"/>
      <c r="F123" s="317">
        <v>26156</v>
      </c>
      <c r="G123" s="316"/>
    </row>
    <row r="124" spans="1:7" s="516" customFormat="1">
      <c r="A124" s="537">
        <v>145</v>
      </c>
      <c r="B124" s="526"/>
      <c r="C124" s="526" t="s">
        <v>116</v>
      </c>
      <c r="D124" s="317">
        <v>91484.3</v>
      </c>
      <c r="E124" s="304"/>
      <c r="F124" s="317">
        <v>99560</v>
      </c>
      <c r="G124" s="304"/>
    </row>
    <row r="125" spans="1:7" s="516" customFormat="1">
      <c r="A125" s="537">
        <v>146</v>
      </c>
      <c r="B125" s="526"/>
      <c r="C125" s="526" t="s">
        <v>115</v>
      </c>
      <c r="D125" s="317">
        <v>67812</v>
      </c>
      <c r="E125" s="304"/>
      <c r="F125" s="317">
        <v>69688</v>
      </c>
      <c r="G125" s="304"/>
    </row>
    <row r="126" spans="1:7" s="538" customFormat="1" ht="29.45" customHeight="1">
      <c r="A126" s="524" t="s">
        <v>114</v>
      </c>
      <c r="B126" s="523"/>
      <c r="C126" s="523" t="s">
        <v>113</v>
      </c>
      <c r="D126" s="311">
        <v>-4586.8</v>
      </c>
      <c r="E126" s="339"/>
      <c r="F126" s="311">
        <f>-6269-122</f>
        <v>-6391</v>
      </c>
      <c r="G126" s="339"/>
    </row>
    <row r="127" spans="1:7" s="516" customFormat="1">
      <c r="A127" s="537">
        <v>1484</v>
      </c>
      <c r="B127" s="526"/>
      <c r="C127" s="526" t="s">
        <v>112</v>
      </c>
      <c r="D127" s="317">
        <v>0</v>
      </c>
      <c r="E127" s="304"/>
      <c r="F127" s="317">
        <v>0</v>
      </c>
      <c r="G127" s="304"/>
    </row>
    <row r="128" spans="1:7" s="516" customFormat="1">
      <c r="A128" s="537">
        <v>1485</v>
      </c>
      <c r="B128" s="526"/>
      <c r="C128" s="526" t="s">
        <v>111</v>
      </c>
      <c r="D128" s="317">
        <v>0</v>
      </c>
      <c r="E128" s="304"/>
      <c r="F128" s="317">
        <v>0</v>
      </c>
      <c r="G128" s="304"/>
    </row>
    <row r="129" spans="1:7" s="516" customFormat="1">
      <c r="A129" s="537">
        <v>1486</v>
      </c>
      <c r="B129" s="526"/>
      <c r="C129" s="526" t="s">
        <v>110</v>
      </c>
      <c r="D129" s="317">
        <v>-10569.5</v>
      </c>
      <c r="E129" s="304"/>
      <c r="F129" s="317">
        <v>-14261</v>
      </c>
      <c r="G129" s="304"/>
    </row>
    <row r="130" spans="1:7" s="516" customFormat="1">
      <c r="A130" s="536">
        <v>1489</v>
      </c>
      <c r="B130" s="535"/>
      <c r="C130" s="535" t="s">
        <v>109</v>
      </c>
      <c r="D130" s="333">
        <v>0</v>
      </c>
      <c r="E130" s="332"/>
      <c r="F130" s="333">
        <v>0</v>
      </c>
      <c r="G130" s="332"/>
    </row>
    <row r="131" spans="1:7" s="512" customFormat="1">
      <c r="A131" s="515">
        <v>1</v>
      </c>
      <c r="B131" s="514"/>
      <c r="C131" s="515" t="s">
        <v>108</v>
      </c>
      <c r="D131" s="295">
        <f>D111+D121</f>
        <v>564302.22000000009</v>
      </c>
      <c r="E131" s="295">
        <f>E111+E121</f>
        <v>0</v>
      </c>
      <c r="F131" s="295">
        <f>F111+F121</f>
        <v>576503</v>
      </c>
      <c r="G131" s="295">
        <f>G111+G121</f>
        <v>0</v>
      </c>
    </row>
    <row r="132" spans="1:7" s="512" customFormat="1">
      <c r="A132" s="534"/>
      <c r="B132" s="534"/>
      <c r="C132" s="533"/>
      <c r="D132" s="260"/>
      <c r="E132" s="260"/>
      <c r="F132" s="260"/>
      <c r="G132" s="260"/>
    </row>
    <row r="133" spans="1:7" s="516" customFormat="1">
      <c r="A133" s="532">
        <v>20</v>
      </c>
      <c r="B133" s="531"/>
      <c r="C133" s="531" t="s">
        <v>107</v>
      </c>
      <c r="D133" s="329">
        <f>D134+D140</f>
        <v>189899.9</v>
      </c>
      <c r="E133" s="530">
        <f>E134+E140</f>
        <v>0</v>
      </c>
      <c r="F133" s="329">
        <f>F134+F140</f>
        <v>165020</v>
      </c>
      <c r="G133" s="530">
        <f>G134+G140</f>
        <v>0</v>
      </c>
    </row>
    <row r="134" spans="1:7" s="516" customFormat="1">
      <c r="A134" s="520" t="s">
        <v>106</v>
      </c>
      <c r="B134" s="519"/>
      <c r="C134" s="519" t="s">
        <v>105</v>
      </c>
      <c r="D134" s="327">
        <f>D135+D136+D138+D139</f>
        <v>126818.09999999999</v>
      </c>
      <c r="E134" s="326">
        <f>E135+E136+E138+E139</f>
        <v>0</v>
      </c>
      <c r="F134" s="327">
        <f>F135+F136+F138+F139</f>
        <v>82281</v>
      </c>
      <c r="G134" s="326">
        <f>G135+G136+G138+G139</f>
        <v>0</v>
      </c>
    </row>
    <row r="135" spans="1:7" s="525" customFormat="1">
      <c r="A135" s="527">
        <v>200</v>
      </c>
      <c r="B135" s="526"/>
      <c r="C135" s="526" t="s">
        <v>104</v>
      </c>
      <c r="D135" s="317">
        <v>79977.2</v>
      </c>
      <c r="E135" s="316"/>
      <c r="F135" s="317">
        <v>75725</v>
      </c>
      <c r="G135" s="316"/>
    </row>
    <row r="136" spans="1:7" s="525" customFormat="1">
      <c r="A136" s="527">
        <v>201</v>
      </c>
      <c r="B136" s="526"/>
      <c r="C136" s="526" t="s">
        <v>103</v>
      </c>
      <c r="D136" s="317">
        <v>40000</v>
      </c>
      <c r="E136" s="316"/>
      <c r="F136" s="317">
        <v>0</v>
      </c>
      <c r="G136" s="316"/>
    </row>
    <row r="137" spans="1:7" s="525" customFormat="1">
      <c r="A137" s="529" t="s">
        <v>494</v>
      </c>
      <c r="B137" s="528"/>
      <c r="C137" s="528" t="s">
        <v>101</v>
      </c>
      <c r="D137" s="322">
        <v>0</v>
      </c>
      <c r="E137" s="328"/>
      <c r="F137" s="322">
        <v>0</v>
      </c>
      <c r="G137" s="328"/>
    </row>
    <row r="138" spans="1:7" s="525" customFormat="1">
      <c r="A138" s="527">
        <v>204</v>
      </c>
      <c r="B138" s="526"/>
      <c r="C138" s="526" t="s">
        <v>100</v>
      </c>
      <c r="D138" s="317">
        <v>5277.2</v>
      </c>
      <c r="E138" s="304"/>
      <c r="F138" s="317">
        <v>5009</v>
      </c>
      <c r="G138" s="304"/>
    </row>
    <row r="139" spans="1:7" s="525" customFormat="1">
      <c r="A139" s="527">
        <v>205</v>
      </c>
      <c r="B139" s="526"/>
      <c r="C139" s="526" t="s">
        <v>99</v>
      </c>
      <c r="D139" s="317">
        <v>1563.7</v>
      </c>
      <c r="E139" s="304"/>
      <c r="F139" s="317">
        <v>1547</v>
      </c>
      <c r="G139" s="304"/>
    </row>
    <row r="140" spans="1:7" s="525" customFormat="1">
      <c r="A140" s="520" t="s">
        <v>98</v>
      </c>
      <c r="B140" s="519"/>
      <c r="C140" s="519" t="s">
        <v>97</v>
      </c>
      <c r="D140" s="327">
        <f>D141+D143+D144</f>
        <v>63081.8</v>
      </c>
      <c r="E140" s="326">
        <f>E141+E143+E144</f>
        <v>0</v>
      </c>
      <c r="F140" s="327">
        <f>F141+F143+F144</f>
        <v>82739</v>
      </c>
      <c r="G140" s="326">
        <f>G141+G143+G144</f>
        <v>0</v>
      </c>
    </row>
    <row r="141" spans="1:7" s="525" customFormat="1">
      <c r="A141" s="527">
        <v>206</v>
      </c>
      <c r="B141" s="526"/>
      <c r="C141" s="526" t="s">
        <v>96</v>
      </c>
      <c r="D141" s="317">
        <v>41463.800000000003</v>
      </c>
      <c r="E141" s="304"/>
      <c r="F141" s="317">
        <v>61402</v>
      </c>
      <c r="G141" s="304"/>
    </row>
    <row r="142" spans="1:7" s="525" customFormat="1">
      <c r="A142" s="529" t="s">
        <v>95</v>
      </c>
      <c r="B142" s="528"/>
      <c r="C142" s="528" t="s">
        <v>94</v>
      </c>
      <c r="D142" s="322">
        <v>0</v>
      </c>
      <c r="E142" s="328"/>
      <c r="F142" s="322">
        <v>0</v>
      </c>
      <c r="G142" s="328"/>
    </row>
    <row r="143" spans="1:7" s="525" customFormat="1">
      <c r="A143" s="527">
        <v>208</v>
      </c>
      <c r="B143" s="526"/>
      <c r="C143" s="526" t="s">
        <v>93</v>
      </c>
      <c r="D143" s="317">
        <v>0</v>
      </c>
      <c r="E143" s="304"/>
      <c r="F143" s="317">
        <v>0</v>
      </c>
      <c r="G143" s="304"/>
    </row>
    <row r="144" spans="1:7" s="521" customFormat="1" ht="25.5">
      <c r="A144" s="524">
        <v>209</v>
      </c>
      <c r="B144" s="523"/>
      <c r="C144" s="523" t="s">
        <v>92</v>
      </c>
      <c r="D144" s="311">
        <v>21618</v>
      </c>
      <c r="E144" s="339"/>
      <c r="F144" s="311">
        <v>21337</v>
      </c>
      <c r="G144" s="339"/>
    </row>
    <row r="145" spans="1:7" s="516" customFormat="1">
      <c r="A145" s="520">
        <v>29</v>
      </c>
      <c r="B145" s="519"/>
      <c r="C145" s="519" t="s">
        <v>61</v>
      </c>
      <c r="D145" s="305">
        <v>374402.2</v>
      </c>
      <c r="E145" s="304"/>
      <c r="F145" s="305">
        <v>411483</v>
      </c>
      <c r="G145" s="304"/>
    </row>
    <row r="146" spans="1:7" s="516" customFormat="1">
      <c r="A146" s="518" t="s">
        <v>91</v>
      </c>
      <c r="B146" s="517"/>
      <c r="C146" s="517" t="s">
        <v>90</v>
      </c>
      <c r="D146" s="300">
        <v>53242.6</v>
      </c>
      <c r="E146" s="299"/>
      <c r="F146" s="300">
        <v>0</v>
      </c>
      <c r="G146" s="299"/>
    </row>
    <row r="147" spans="1:7" s="512" customFormat="1">
      <c r="A147" s="515">
        <v>2</v>
      </c>
      <c r="B147" s="514"/>
      <c r="C147" s="515" t="s">
        <v>89</v>
      </c>
      <c r="D147" s="295">
        <f>D133+D145</f>
        <v>564302.1</v>
      </c>
      <c r="E147" s="295">
        <f>E133+E145</f>
        <v>0</v>
      </c>
      <c r="F147" s="295">
        <f>F133+F145</f>
        <v>576503</v>
      </c>
      <c r="G147" s="295">
        <f>G133+G145</f>
        <v>0</v>
      </c>
    </row>
    <row r="148" spans="1:7" ht="7.5" customHeight="1">
      <c r="D148" s="512"/>
      <c r="F148" s="512"/>
    </row>
    <row r="149" spans="1:7" ht="13.5" customHeight="1">
      <c r="A149" s="511" t="s">
        <v>88</v>
      </c>
      <c r="B149" s="509"/>
      <c r="C149" s="664" t="s">
        <v>87</v>
      </c>
      <c r="D149" s="509"/>
      <c r="E149" s="509"/>
      <c r="F149" s="509"/>
      <c r="G149" s="509"/>
    </row>
    <row r="150" spans="1:7">
      <c r="A150" s="658" t="s">
        <v>86</v>
      </c>
      <c r="B150" s="657"/>
      <c r="C150" s="657" t="s">
        <v>85</v>
      </c>
      <c r="D150" s="268">
        <f>D77+SUM(D8:D12)-D30-D31+D16-D33+D59+D63-D73+D64-D74-D54+D20-D35</f>
        <v>22426.999999999942</v>
      </c>
      <c r="E150" s="268">
        <f>E77+SUM(E8:E12)-E30-E31+E16-E33+E59+E63-E73+E64-E74-E54+E20-E35</f>
        <v>5215.7000000000044</v>
      </c>
      <c r="F150" s="268">
        <f>F77+SUM(F8:F12)-F30-F31+F16-F33+F59+F63-F73+F64-F74-F54+F20-F35</f>
        <v>50167</v>
      </c>
      <c r="G150" s="268">
        <f>G77+SUM(G8:G12)-G30-G31+G16-G33+G59+G63-G73+G64-G74-G54+G20-G35</f>
        <v>5326</v>
      </c>
    </row>
    <row r="151" spans="1:7">
      <c r="A151" s="654" t="s">
        <v>84</v>
      </c>
      <c r="B151" s="653"/>
      <c r="C151" s="653" t="s">
        <v>83</v>
      </c>
      <c r="D151" s="269">
        <f>IF(D177=0,0,D150/D177)</f>
        <v>7.3999699078228912E-2</v>
      </c>
      <c r="E151" s="269">
        <f>IF(E177=0,0,E150/E177)</f>
        <v>1.8621228636212891E-2</v>
      </c>
      <c r="F151" s="269">
        <f>IF(F177=0,0,F150/F177)</f>
        <v>0.14172589922366741</v>
      </c>
      <c r="G151" s="269">
        <f>IF(G177=0,0,G150/G177)</f>
        <v>1.7610512080361601E-2</v>
      </c>
    </row>
    <row r="152" spans="1:7" s="504" customFormat="1" ht="25.5">
      <c r="A152" s="497" t="s">
        <v>81</v>
      </c>
      <c r="B152" s="663"/>
      <c r="C152" s="663" t="s">
        <v>82</v>
      </c>
      <c r="D152" s="274">
        <f>IF(D107=0,0,D150/D107)</f>
        <v>1.7781283943961204</v>
      </c>
      <c r="E152" s="274">
        <f>IF(E107=0,0,E150/E107)</f>
        <v>0.23908668766129901</v>
      </c>
      <c r="F152" s="274">
        <f>IF(F107=0,0,F150/F107)</f>
        <v>2.3300975383186251</v>
      </c>
      <c r="G152" s="274">
        <f>IF(G107=0,0,G150/G107)</f>
        <v>0.29598755140602423</v>
      </c>
    </row>
    <row r="153" spans="1:7" s="504" customFormat="1" ht="25.5">
      <c r="A153" s="503" t="s">
        <v>81</v>
      </c>
      <c r="B153" s="662"/>
      <c r="C153" s="662" t="s">
        <v>80</v>
      </c>
      <c r="D153" s="758">
        <f>IF(0=D108,0,D150/D108)</f>
        <v>1.7250211522190555</v>
      </c>
      <c r="E153" s="758">
        <f>IF(0=E108,0,E150/E108)</f>
        <v>0.23914259513984432</v>
      </c>
      <c r="F153" s="758">
        <f>IF(0=F108,0,F150/F108)</f>
        <v>3.1208087091757388</v>
      </c>
      <c r="G153" s="758">
        <f>IF(0=G108,0,G150/G108)</f>
        <v>0.29057777292814663</v>
      </c>
    </row>
    <row r="154" spans="1:7" s="504" customFormat="1" ht="25.5">
      <c r="A154" s="508" t="s">
        <v>79</v>
      </c>
      <c r="B154" s="661"/>
      <c r="C154" s="661" t="s">
        <v>78</v>
      </c>
      <c r="D154" s="282">
        <f>D150-D107</f>
        <v>9814.2999999999447</v>
      </c>
      <c r="E154" s="282">
        <f>E150-E107</f>
        <v>-16599.399999999998</v>
      </c>
      <c r="F154" s="282">
        <f>F150-F107</f>
        <v>28637</v>
      </c>
      <c r="G154" s="282">
        <f>G150-G107</f>
        <v>-12668</v>
      </c>
    </row>
    <row r="155" spans="1:7" ht="25.5">
      <c r="A155" s="660" t="s">
        <v>77</v>
      </c>
      <c r="B155" s="659"/>
      <c r="C155" s="659" t="s">
        <v>76</v>
      </c>
      <c r="D155" s="279">
        <f>D150-D108</f>
        <v>9425.9999999999418</v>
      </c>
      <c r="E155" s="279">
        <f>E150-E108</f>
        <v>-16594.299999999996</v>
      </c>
      <c r="F155" s="279">
        <f>F150-F108</f>
        <v>34092</v>
      </c>
      <c r="G155" s="279">
        <f>G150-G108</f>
        <v>-13003</v>
      </c>
    </row>
    <row r="156" spans="1:7">
      <c r="A156" s="658" t="s">
        <v>75</v>
      </c>
      <c r="B156" s="657"/>
      <c r="C156" s="657" t="s">
        <v>74</v>
      </c>
      <c r="D156" s="277">
        <f>D135+D136-D137+D141-D142</f>
        <v>161441</v>
      </c>
      <c r="E156" s="277">
        <f>E135+E136-E137+E141-E142</f>
        <v>0</v>
      </c>
      <c r="F156" s="277">
        <f>F135+F136-F137+F141-F142</f>
        <v>137127</v>
      </c>
      <c r="G156" s="277">
        <f>G135+G136-G137+G141-G142</f>
        <v>0</v>
      </c>
    </row>
    <row r="157" spans="1:7">
      <c r="A157" s="656" t="s">
        <v>73</v>
      </c>
      <c r="B157" s="655"/>
      <c r="C157" s="655" t="s">
        <v>72</v>
      </c>
      <c r="D157" s="273">
        <f>IF(D177=0,0,D156/D177)</f>
        <v>0.53268762736381969</v>
      </c>
      <c r="E157" s="273">
        <f>IF(E177=0,0,E156/E177)</f>
        <v>0</v>
      </c>
      <c r="F157" s="273">
        <f>IF(F177=0,0,F156/F177)</f>
        <v>0.38739504819590248</v>
      </c>
      <c r="G157" s="273">
        <f>IF(G177=0,0,G156/G177)</f>
        <v>0</v>
      </c>
    </row>
    <row r="158" spans="1:7">
      <c r="A158" s="658" t="s">
        <v>71</v>
      </c>
      <c r="B158" s="657"/>
      <c r="C158" s="657" t="s">
        <v>70</v>
      </c>
      <c r="D158" s="277">
        <f>D133-D142-D111</f>
        <v>-182126.02000000005</v>
      </c>
      <c r="E158" s="277">
        <f>E133-E142-E111</f>
        <v>0</v>
      </c>
      <c r="F158" s="277">
        <f>F133-F142-F111</f>
        <v>-216344</v>
      </c>
      <c r="G158" s="277">
        <f>G133-G142-G111</f>
        <v>0</v>
      </c>
    </row>
    <row r="159" spans="1:7">
      <c r="A159" s="654" t="s">
        <v>69</v>
      </c>
      <c r="B159" s="653"/>
      <c r="C159" s="653" t="s">
        <v>68</v>
      </c>
      <c r="D159" s="265">
        <f>D121-D123-D124-D142-D145</f>
        <v>-301849.5</v>
      </c>
      <c r="E159" s="265">
        <f>E121-E123-E124-E142-E145</f>
        <v>0</v>
      </c>
      <c r="F159" s="265">
        <f>F121-F123-F124-F142-F145</f>
        <v>-342060</v>
      </c>
      <c r="G159" s="265">
        <f>G121-G123-G124-G142-G145</f>
        <v>0</v>
      </c>
    </row>
    <row r="160" spans="1:7">
      <c r="A160" s="654" t="s">
        <v>66</v>
      </c>
      <c r="B160" s="653"/>
      <c r="C160" s="653" t="s">
        <v>67</v>
      </c>
      <c r="D160" s="276">
        <f>IF(D175=0,"-",1000*D158/D175)</f>
        <v>-4600.0712265104075</v>
      </c>
      <c r="E160" s="276">
        <f>IF(E175=0,"-",1000*E158/E175)</f>
        <v>0</v>
      </c>
      <c r="F160" s="276">
        <f>IF(F175=0,"-",1000*F158/F175)</f>
        <v>-5436.5984821832435</v>
      </c>
      <c r="G160" s="276">
        <f>IF(G175=0,"-",1000*G158/G175)</f>
        <v>0</v>
      </c>
    </row>
    <row r="161" spans="1:7">
      <c r="A161" s="654" t="s">
        <v>66</v>
      </c>
      <c r="B161" s="653"/>
      <c r="C161" s="653" t="s">
        <v>65</v>
      </c>
      <c r="D161" s="265">
        <f>IF(D175=0,0,1000*(D159/D175))</f>
        <v>-7624.0023237017576</v>
      </c>
      <c r="E161" s="265">
        <f>IF(E175=0,0,1000*(E159/E175))</f>
        <v>0</v>
      </c>
      <c r="F161" s="265">
        <f>IF(F175=0,0,1000*(F159/F175))</f>
        <v>-8595.7682062622516</v>
      </c>
      <c r="G161" s="265">
        <f>IF(G175=0,0,1000*(G159/G175))</f>
        <v>0</v>
      </c>
    </row>
    <row r="162" spans="1:7">
      <c r="A162" s="656" t="s">
        <v>64</v>
      </c>
      <c r="B162" s="655"/>
      <c r="C162" s="655" t="s">
        <v>63</v>
      </c>
      <c r="D162" s="273">
        <f>IF((D22+D23+D65+D66)=0,0,D158/(D22+D23+D65+D66))</f>
        <v>-1.8481039092823264</v>
      </c>
      <c r="E162" s="273">
        <f>IF((E22+E23+E65+E66)=0,0,E158/(E22+E23+E65+E66))</f>
        <v>0</v>
      </c>
      <c r="F162" s="273">
        <f>IF((F22+F23+F65+F66)=0,0,F158/(F22+F23+F65+F66))</f>
        <v>-2.0554858815034396</v>
      </c>
      <c r="G162" s="273">
        <f>IF((G22+G23+G65+G66)=0,0,G158/(G22+G23+G65+G66))</f>
        <v>0</v>
      </c>
    </row>
    <row r="163" spans="1:7">
      <c r="A163" s="654" t="s">
        <v>62</v>
      </c>
      <c r="B163" s="653"/>
      <c r="C163" s="653" t="s">
        <v>61</v>
      </c>
      <c r="D163" s="268">
        <f>D145</f>
        <v>374402.2</v>
      </c>
      <c r="E163" s="268">
        <f>E145</f>
        <v>0</v>
      </c>
      <c r="F163" s="268">
        <f>F145</f>
        <v>411483</v>
      </c>
      <c r="G163" s="268">
        <f>G145</f>
        <v>0</v>
      </c>
    </row>
    <row r="164" spans="1:7" ht="25.5">
      <c r="A164" s="497" t="s">
        <v>60</v>
      </c>
      <c r="B164" s="655"/>
      <c r="C164" s="655" t="s">
        <v>59</v>
      </c>
      <c r="D164" s="274">
        <f>IF(D178=0,0,D146/D178)</f>
        <v>0.18045115330244388</v>
      </c>
      <c r="E164" s="274">
        <f>IF(E178=0,0,E146/E178)</f>
        <v>0</v>
      </c>
      <c r="F164" s="274">
        <f>IF(F178=0,0,F146/F178)</f>
        <v>0</v>
      </c>
      <c r="G164" s="274">
        <f>IF(G178=0,0,G146/G178)</f>
        <v>0</v>
      </c>
    </row>
    <row r="165" spans="1:7">
      <c r="A165" s="652" t="s">
        <v>58</v>
      </c>
      <c r="B165" s="651"/>
      <c r="C165" s="651" t="s">
        <v>57</v>
      </c>
      <c r="D165" s="262">
        <f>IF(D177=0,0,D180/D177)</f>
        <v>2.5664799543865947E-2</v>
      </c>
      <c r="E165" s="262">
        <f>IF(E177=0,0,E180/E177)</f>
        <v>3.4676178701244544E-2</v>
      </c>
      <c r="F165" s="262">
        <f>IF(F177=0,0,F180/F177)</f>
        <v>2.3205225272055416E-2</v>
      </c>
      <c r="G165" s="262">
        <f>IF(G177=0,0,G180/G177)</f>
        <v>2.803926820155208E-2</v>
      </c>
    </row>
    <row r="166" spans="1:7">
      <c r="A166" s="654" t="s">
        <v>56</v>
      </c>
      <c r="B166" s="653"/>
      <c r="C166" s="653" t="s">
        <v>55</v>
      </c>
      <c r="D166" s="268">
        <f>D55</f>
        <v>6063.5999999999985</v>
      </c>
      <c r="E166" s="268">
        <f>E55</f>
        <v>8453.3000000000029</v>
      </c>
      <c r="F166" s="268">
        <f>F55</f>
        <v>40874</v>
      </c>
      <c r="G166" s="268">
        <f>G55</f>
        <v>2279</v>
      </c>
    </row>
    <row r="167" spans="1:7">
      <c r="A167" s="656" t="s">
        <v>54</v>
      </c>
      <c r="B167" s="655"/>
      <c r="C167" s="655" t="s">
        <v>53</v>
      </c>
      <c r="D167" s="273">
        <f>IF(0=D111,0,(D44+D45+D46+D47+D48)/D111)</f>
        <v>5.2194212704319086E-2</v>
      </c>
      <c r="E167" s="273">
        <f>IF(0=E111,0,(E44+E45+E46+E47+E48)/E111)</f>
        <v>0</v>
      </c>
      <c r="F167" s="273">
        <f>IF(0=F111,0,(F44+F45+F46+F47+F48)/F111)</f>
        <v>0.15861748880334797</v>
      </c>
      <c r="G167" s="273">
        <f>IF(0=G111,0,(G44+G45+G46+G47+G48)/G111)</f>
        <v>0</v>
      </c>
    </row>
    <row r="168" spans="1:7">
      <c r="A168" s="654" t="s">
        <v>52</v>
      </c>
      <c r="B168" s="657"/>
      <c r="C168" s="657" t="s">
        <v>51</v>
      </c>
      <c r="D168" s="268">
        <f>D38-D44</f>
        <v>-4746</v>
      </c>
      <c r="E168" s="268">
        <f>E38-E44</f>
        <v>-4799.6000000000004</v>
      </c>
      <c r="F168" s="268">
        <f>F38-F44</f>
        <v>-5588</v>
      </c>
      <c r="G168" s="268">
        <f>G38-G44</f>
        <v>-5221</v>
      </c>
    </row>
    <row r="169" spans="1:7">
      <c r="A169" s="656" t="s">
        <v>50</v>
      </c>
      <c r="B169" s="655"/>
      <c r="C169" s="655" t="s">
        <v>49</v>
      </c>
      <c r="D169" s="269">
        <f>IF(D177=0,0,D168/D177)</f>
        <v>-1.5659810577664215E-2</v>
      </c>
      <c r="E169" s="269">
        <f>IF(E177=0,0,E168/E177)</f>
        <v>-1.7135657526768665E-2</v>
      </c>
      <c r="F169" s="269">
        <f>IF(F177=0,0,F168/F177)</f>
        <v>-1.5786559388878216E-2</v>
      </c>
      <c r="G169" s="269">
        <f>IF(G177=0,0,G168/G177)</f>
        <v>-1.7263327745318798E-2</v>
      </c>
    </row>
    <row r="170" spans="1:7">
      <c r="A170" s="654" t="s">
        <v>48</v>
      </c>
      <c r="B170" s="653"/>
      <c r="C170" s="653" t="s">
        <v>47</v>
      </c>
      <c r="D170" s="268">
        <f>SUM(D82:D87)+SUM(D89:D94)</f>
        <v>22641.199999999997</v>
      </c>
      <c r="E170" s="268">
        <f>SUM(E82:E87)+SUM(E89:E94)</f>
        <v>29925.9</v>
      </c>
      <c r="F170" s="268">
        <f>SUM(F82:F87)+SUM(F89:F94)</f>
        <v>35408</v>
      </c>
      <c r="G170" s="268">
        <f>SUM(G82:G87)+SUM(G89:G94)</f>
        <v>28834</v>
      </c>
    </row>
    <row r="171" spans="1:7">
      <c r="A171" s="654" t="s">
        <v>46</v>
      </c>
      <c r="B171" s="653"/>
      <c r="C171" s="653" t="s">
        <v>45</v>
      </c>
      <c r="D171" s="265">
        <f>SUM(D96:D102)+SUM(D104:D105)</f>
        <v>10028.5</v>
      </c>
      <c r="E171" s="265">
        <f>SUM(E96:E102)+SUM(E104:E105)</f>
        <v>8110.8</v>
      </c>
      <c r="F171" s="265">
        <f>SUM(F96:F102)+SUM(F104:F105)</f>
        <v>13878</v>
      </c>
      <c r="G171" s="265">
        <f>SUM(G96:G102)+SUM(G104:G105)</f>
        <v>10840</v>
      </c>
    </row>
    <row r="172" spans="1:7">
      <c r="A172" s="652" t="s">
        <v>44</v>
      </c>
      <c r="B172" s="651"/>
      <c r="C172" s="651" t="s">
        <v>43</v>
      </c>
      <c r="D172" s="262">
        <f>IF(D184=0,0,D170/D184)</f>
        <v>7.7733061510921519E-2</v>
      </c>
      <c r="E172" s="262">
        <f>IF(E184=0,0,E170/E184)</f>
        <v>9.8908682516478497E-2</v>
      </c>
      <c r="F172" s="262">
        <f>IF(F184=0,0,F170/F184)</f>
        <v>0.10991153189507993</v>
      </c>
      <c r="G172" s="262">
        <f>IF(G184=0,0,G170/G184)</f>
        <v>9.0450527319610272E-2</v>
      </c>
    </row>
    <row r="173" spans="1:7">
      <c r="A173" s="678"/>
    </row>
    <row r="174" spans="1:7">
      <c r="A174" s="479" t="s">
        <v>42</v>
      </c>
      <c r="B174" s="477"/>
      <c r="C174" s="649"/>
      <c r="D174" s="260"/>
      <c r="E174" s="260"/>
      <c r="F174" s="260"/>
      <c r="G174" s="260"/>
    </row>
    <row r="175" spans="1:7" s="480" customFormat="1">
      <c r="A175" s="478" t="s">
        <v>41</v>
      </c>
      <c r="B175" s="477"/>
      <c r="C175" s="477" t="s">
        <v>40</v>
      </c>
      <c r="D175" s="257">
        <v>39592</v>
      </c>
      <c r="E175" s="257">
        <v>39592</v>
      </c>
      <c r="F175" s="257">
        <v>39794</v>
      </c>
      <c r="G175" s="257">
        <v>39593</v>
      </c>
    </row>
    <row r="176" spans="1:7">
      <c r="A176" s="479" t="s">
        <v>39</v>
      </c>
      <c r="B176" s="477"/>
      <c r="C176" s="477"/>
      <c r="D176" s="477"/>
      <c r="E176" s="477"/>
      <c r="F176" s="477"/>
      <c r="G176" s="477"/>
    </row>
    <row r="177" spans="1:7">
      <c r="A177" s="478" t="s">
        <v>38</v>
      </c>
      <c r="B177" s="477"/>
      <c r="C177" s="477" t="s">
        <v>37</v>
      </c>
      <c r="D177" s="475">
        <f>SUM(D22:D32)+SUM(D44:D53)+SUM(D65:D72)+D75</f>
        <v>303068.79999999999</v>
      </c>
      <c r="E177" s="475">
        <f>SUM(E22:E32)+SUM(E44:E53)+SUM(E65:E72)+E75</f>
        <v>280094.3</v>
      </c>
      <c r="F177" s="475">
        <f>SUM(F22:F32)+SUM(F44:F53)+SUM(F65:F72)+F75</f>
        <v>353972</v>
      </c>
      <c r="G177" s="475">
        <f>SUM(G22:G32)+SUM(G44:G53)+SUM(G65:G72)+G75</f>
        <v>302433</v>
      </c>
    </row>
    <row r="178" spans="1:7">
      <c r="A178" s="478" t="s">
        <v>36</v>
      </c>
      <c r="B178" s="477"/>
      <c r="C178" s="477" t="s">
        <v>35</v>
      </c>
      <c r="D178" s="475">
        <f>D78-D17-D20-D59-D63-D64</f>
        <v>295052.70000000007</v>
      </c>
      <c r="E178" s="475">
        <f>E78-E17-E20-E59-E63-E64</f>
        <v>290810.5</v>
      </c>
      <c r="F178" s="475">
        <f>F78-F17-F20-F59-F63-F64</f>
        <v>333667</v>
      </c>
      <c r="G178" s="475">
        <f>G78-G17-G20-G59-G63-G64</f>
        <v>307365</v>
      </c>
    </row>
    <row r="179" spans="1:7">
      <c r="A179" s="478"/>
      <c r="B179" s="477"/>
      <c r="C179" s="477" t="s">
        <v>34</v>
      </c>
      <c r="D179" s="475">
        <f>D178+D170</f>
        <v>317693.90000000008</v>
      </c>
      <c r="E179" s="475">
        <f>E178+E170</f>
        <v>320736.40000000002</v>
      </c>
      <c r="F179" s="475">
        <f>F178+F170</f>
        <v>369075</v>
      </c>
      <c r="G179" s="475">
        <f>G178+G170</f>
        <v>336199</v>
      </c>
    </row>
    <row r="180" spans="1:7">
      <c r="A180" s="478" t="s">
        <v>33</v>
      </c>
      <c r="B180" s="477"/>
      <c r="C180" s="477" t="s">
        <v>32</v>
      </c>
      <c r="D180" s="475">
        <f>D38-D44+D8+D9+D10+D16-D33</f>
        <v>7778.2</v>
      </c>
      <c r="E180" s="475">
        <f>E38-E44+E8+E9+E10+E16-E33</f>
        <v>9712.5999999999985</v>
      </c>
      <c r="F180" s="475">
        <f>F38-F44+F8+F9+F10+F16-F33</f>
        <v>8214</v>
      </c>
      <c r="G180" s="475">
        <f>G38-G44+G8+G9+G10+G16-G33</f>
        <v>8480</v>
      </c>
    </row>
    <row r="181" spans="1:7" ht="27.6" customHeight="1">
      <c r="A181" s="474" t="s">
        <v>31</v>
      </c>
      <c r="B181" s="472"/>
      <c r="C181" s="472" t="s">
        <v>30</v>
      </c>
      <c r="D181" s="249">
        <f>D22+D23+D24+D25+D26+D29+SUM(D44:D47)+SUM(D49:D53)-D54+D32-D33+SUM(D65:D70)+D72</f>
        <v>292061.2</v>
      </c>
      <c r="E181" s="249">
        <f>E22+E23+E24+E25+E26+E29+SUM(E44:E47)+SUM(E49:E53)-E54+E32-E33+SUM(E65:E70)+E72</f>
        <v>277613.7</v>
      </c>
      <c r="F181" s="249">
        <f>F22+F23+F24+F25+F26+F29+SUM(F44:F47)+SUM(F49:F53)-F54+F32-F33+SUM(F65:F70)+F72</f>
        <v>321263</v>
      </c>
      <c r="G181" s="249">
        <f>G22+G23+G24+G25+G26+G29+SUM(G44:G47)+SUM(G49:G53)-G54+G32-G33+SUM(G65:G70)+G72</f>
        <v>295103</v>
      </c>
    </row>
    <row r="182" spans="1:7">
      <c r="A182" s="473" t="s">
        <v>29</v>
      </c>
      <c r="B182" s="472"/>
      <c r="C182" s="472" t="s">
        <v>28</v>
      </c>
      <c r="D182" s="249">
        <f>D181+D171</f>
        <v>302089.7</v>
      </c>
      <c r="E182" s="249">
        <f>E181+E171</f>
        <v>285724.5</v>
      </c>
      <c r="F182" s="249">
        <f>F181+F171</f>
        <v>335141</v>
      </c>
      <c r="G182" s="249">
        <f>G181+G171</f>
        <v>305943</v>
      </c>
    </row>
    <row r="183" spans="1:7">
      <c r="A183" s="473" t="s">
        <v>27</v>
      </c>
      <c r="B183" s="472"/>
      <c r="C183" s="472" t="s">
        <v>26</v>
      </c>
      <c r="D183" s="249">
        <f>D4+D5-D7+D38+D39+D40+D41+D43+D13-D16+D57+D58+D60+D62</f>
        <v>268627.40000000002</v>
      </c>
      <c r="E183" s="249">
        <f>E4+E5-E7+E38+E39+E40+E41+E43+E13-E16+E57+E58+E60+E62</f>
        <v>272635</v>
      </c>
      <c r="F183" s="249">
        <f>F4+F5-F7+F38+F39+F40+F41+F43+F13-F16+F57+F58+F60+F62</f>
        <v>286742</v>
      </c>
      <c r="G183" s="249">
        <f>G4+G5-G7+G38+G39+G40+G41+G43+G13-G16+G57+G58+G60+G62</f>
        <v>289948</v>
      </c>
    </row>
    <row r="184" spans="1:7">
      <c r="A184" s="473" t="s">
        <v>25</v>
      </c>
      <c r="B184" s="472"/>
      <c r="C184" s="472" t="s">
        <v>24</v>
      </c>
      <c r="D184" s="249">
        <f>D183+D170</f>
        <v>291268.60000000003</v>
      </c>
      <c r="E184" s="249">
        <f>E183+E170</f>
        <v>302560.90000000002</v>
      </c>
      <c r="F184" s="249">
        <f>F183+F170</f>
        <v>322150</v>
      </c>
      <c r="G184" s="249">
        <f>G183+G170</f>
        <v>318782</v>
      </c>
    </row>
    <row r="185" spans="1:7">
      <c r="A185" s="473"/>
      <c r="B185" s="472"/>
      <c r="C185" s="472" t="s">
        <v>23</v>
      </c>
      <c r="D185" s="249">
        <f t="shared" ref="D185:G186" si="0">D181-D183</f>
        <v>23433.799999999988</v>
      </c>
      <c r="E185" s="249">
        <f t="shared" si="0"/>
        <v>4978.7000000000116</v>
      </c>
      <c r="F185" s="249">
        <f t="shared" si="0"/>
        <v>34521</v>
      </c>
      <c r="G185" s="249">
        <f t="shared" si="0"/>
        <v>5155</v>
      </c>
    </row>
    <row r="186" spans="1:7">
      <c r="A186" s="473"/>
      <c r="B186" s="472"/>
      <c r="C186" s="472" t="s">
        <v>22</v>
      </c>
      <c r="D186" s="249">
        <f t="shared" si="0"/>
        <v>10821.099999999977</v>
      </c>
      <c r="E186" s="249">
        <f t="shared" si="0"/>
        <v>-16836.400000000023</v>
      </c>
      <c r="F186" s="249">
        <f t="shared" si="0"/>
        <v>12991</v>
      </c>
      <c r="G186" s="249">
        <f t="shared" si="0"/>
        <v>-12839</v>
      </c>
    </row>
  </sheetData>
  <sheetProtection selectLockedCells="1" sort="0" autoFilter="0" pivotTables="0"/>
  <mergeCells count="2">
    <mergeCell ref="A3:C3"/>
    <mergeCell ref="A81:C81"/>
  </mergeCells>
  <pageMargins left="0.23622047244094491" right="0.23622047244094491" top="0.74803149606299213" bottom="0.74803149606299213" header="0.31496062992125984" footer="0.31496062992125984"/>
  <pageSetup paperSize="9" orientation="landscape" r:id="rId1"/>
  <headerFooter alignWithMargins="0">
    <oddHeader>&amp;LFachgruppe für kantonale Finanzfragen (FkF)
Groupe d'études pour les finances cantonales
&amp;CKanton VD&amp;RZürich, 11.05.2015</oddHeader>
    <oddFooter>&amp;L&amp;F / &amp;A</oddFooter>
  </headerFooter>
  <rowBreaks count="2" manualBreakCount="2">
    <brk id="79" max="16383" man="1"/>
    <brk id="148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21">
    <tabColor rgb="FF00B050"/>
  </sheetPr>
  <dimension ref="A1:AK186"/>
  <sheetViews>
    <sheetView zoomScale="115" zoomScaleNormal="115" workbookViewId="0">
      <selection activeCell="G10" sqref="G10"/>
    </sheetView>
  </sheetViews>
  <sheetFormatPr baseColWidth="10" defaultColWidth="11.42578125" defaultRowHeight="12.75"/>
  <cols>
    <col min="1" max="1" width="15.140625" style="470" customWidth="1"/>
    <col min="2" max="2" width="3.7109375" style="470" customWidth="1"/>
    <col min="3" max="3" width="44.7109375" style="470" customWidth="1"/>
    <col min="4" max="16384" width="11.42578125" style="470"/>
  </cols>
  <sheetData>
    <row r="1" spans="1:37" s="642" customFormat="1" ht="18" customHeight="1">
      <c r="A1" s="752" t="s">
        <v>258</v>
      </c>
      <c r="B1" s="810" t="s">
        <v>527</v>
      </c>
      <c r="C1" s="810" t="s">
        <v>526</v>
      </c>
      <c r="D1" s="643" t="s">
        <v>255</v>
      </c>
      <c r="E1" s="644" t="s">
        <v>254</v>
      </c>
      <c r="F1" s="643" t="s">
        <v>255</v>
      </c>
      <c r="G1" s="644" t="s">
        <v>254</v>
      </c>
      <c r="H1" s="608"/>
      <c r="I1" s="608"/>
      <c r="J1" s="608"/>
      <c r="K1" s="608"/>
      <c r="L1" s="608"/>
      <c r="M1" s="608"/>
      <c r="N1" s="608"/>
      <c r="O1" s="608"/>
      <c r="P1" s="608"/>
      <c r="Q1" s="608"/>
      <c r="R1" s="608"/>
      <c r="S1" s="608"/>
      <c r="T1" s="608"/>
      <c r="U1" s="608"/>
      <c r="V1" s="608"/>
      <c r="W1" s="608"/>
      <c r="X1" s="608"/>
      <c r="Y1" s="608"/>
      <c r="Z1" s="608"/>
      <c r="AA1" s="608"/>
      <c r="AB1" s="608"/>
      <c r="AC1" s="608"/>
      <c r="AD1" s="608"/>
      <c r="AE1" s="608"/>
      <c r="AF1" s="608"/>
      <c r="AG1" s="608"/>
      <c r="AH1" s="608"/>
      <c r="AI1" s="608"/>
      <c r="AJ1" s="608"/>
      <c r="AK1" s="608"/>
    </row>
    <row r="2" spans="1:37" s="636" customFormat="1" ht="15" customHeight="1">
      <c r="A2" s="641"/>
      <c r="B2" s="640"/>
      <c r="C2" s="639" t="s">
        <v>253</v>
      </c>
      <c r="D2" s="637">
        <v>2013</v>
      </c>
      <c r="E2" s="638">
        <v>2014</v>
      </c>
      <c r="F2" s="637">
        <v>2014</v>
      </c>
      <c r="G2" s="638">
        <v>2015</v>
      </c>
    </row>
    <row r="3" spans="1:37" ht="15" customHeight="1">
      <c r="A3" s="949" t="s">
        <v>252</v>
      </c>
      <c r="B3" s="950"/>
      <c r="C3" s="950"/>
      <c r="D3" s="512"/>
      <c r="E3" s="635" t="s">
        <v>251</v>
      </c>
      <c r="F3" s="516"/>
      <c r="G3" s="757" t="s">
        <v>251</v>
      </c>
    </row>
    <row r="4" spans="1:37" s="480" customFormat="1" ht="12.75" customHeight="1">
      <c r="A4" s="670">
        <v>30</v>
      </c>
      <c r="B4" s="669"/>
      <c r="C4" s="632" t="s">
        <v>250</v>
      </c>
      <c r="D4" s="411">
        <v>303651.54499999998</v>
      </c>
      <c r="E4" s="453">
        <v>318029.24</v>
      </c>
      <c r="F4" s="833">
        <v>316793.01656000002</v>
      </c>
      <c r="G4" s="833">
        <v>322775.14</v>
      </c>
    </row>
    <row r="5" spans="1:37" s="480" customFormat="1" ht="12.75" customHeight="1">
      <c r="A5" s="591">
        <v>31</v>
      </c>
      <c r="B5" s="587"/>
      <c r="C5" s="585" t="s">
        <v>249</v>
      </c>
      <c r="D5" s="317">
        <v>107035.07799999999</v>
      </c>
      <c r="E5" s="361">
        <v>118398.689</v>
      </c>
      <c r="F5" s="832">
        <v>108210.2885</v>
      </c>
      <c r="G5" s="832">
        <v>106215.53959999999</v>
      </c>
    </row>
    <row r="6" spans="1:37" s="480" customFormat="1" ht="12.75" customHeight="1">
      <c r="A6" s="630" t="s">
        <v>248</v>
      </c>
      <c r="B6" s="586"/>
      <c r="C6" s="616" t="s">
        <v>247</v>
      </c>
      <c r="D6" s="322">
        <v>21944.409</v>
      </c>
      <c r="E6" s="321">
        <v>23137.45</v>
      </c>
      <c r="F6" s="832">
        <v>20749.943170000002</v>
      </c>
      <c r="G6" s="832">
        <v>22208</v>
      </c>
    </row>
    <row r="7" spans="1:37" s="480" customFormat="1" ht="12.75" customHeight="1">
      <c r="A7" s="630" t="s">
        <v>246</v>
      </c>
      <c r="B7" s="586"/>
      <c r="C7" s="616" t="s">
        <v>245</v>
      </c>
      <c r="D7" s="322">
        <v>-866</v>
      </c>
      <c r="E7" s="321">
        <v>0</v>
      </c>
      <c r="F7" s="832">
        <v>-459</v>
      </c>
      <c r="G7" s="832">
        <v>0</v>
      </c>
    </row>
    <row r="8" spans="1:37" s="480" customFormat="1" ht="12.75" customHeight="1">
      <c r="A8" s="593">
        <v>330</v>
      </c>
      <c r="B8" s="587"/>
      <c r="C8" s="585" t="s">
        <v>244</v>
      </c>
      <c r="D8" s="317">
        <v>64405.381000000001</v>
      </c>
      <c r="E8" s="316">
        <v>72030</v>
      </c>
      <c r="F8" s="832">
        <v>59762.226270000006</v>
      </c>
      <c r="G8" s="832">
        <v>64440.000000000007</v>
      </c>
    </row>
    <row r="9" spans="1:37" s="480" customFormat="1" ht="12.75" customHeight="1">
      <c r="A9" s="593">
        <v>332</v>
      </c>
      <c r="B9" s="587"/>
      <c r="C9" s="585" t="s">
        <v>243</v>
      </c>
      <c r="D9" s="317">
        <v>0</v>
      </c>
      <c r="E9" s="316">
        <v>0</v>
      </c>
      <c r="F9" s="832">
        <v>0</v>
      </c>
      <c r="G9" s="832">
        <v>0</v>
      </c>
    </row>
    <row r="10" spans="1:37" s="480" customFormat="1" ht="12.75" customHeight="1">
      <c r="A10" s="593">
        <v>339</v>
      </c>
      <c r="B10" s="587"/>
      <c r="C10" s="585" t="s">
        <v>242</v>
      </c>
      <c r="D10" s="317">
        <v>0</v>
      </c>
      <c r="E10" s="316">
        <v>0</v>
      </c>
      <c r="F10" s="832">
        <v>0</v>
      </c>
      <c r="G10" s="832">
        <v>0</v>
      </c>
    </row>
    <row r="11" spans="1:37" s="480" customFormat="1" ht="12.75" customHeight="1">
      <c r="A11" s="591">
        <v>350</v>
      </c>
      <c r="B11" s="587"/>
      <c r="C11" s="585" t="s">
        <v>241</v>
      </c>
      <c r="D11" s="317">
        <v>0</v>
      </c>
      <c r="E11" s="316"/>
      <c r="F11" s="832">
        <v>0</v>
      </c>
      <c r="G11" s="832">
        <v>402.8</v>
      </c>
    </row>
    <row r="12" spans="1:37" s="579" customFormat="1">
      <c r="A12" s="597">
        <v>351</v>
      </c>
      <c r="B12" s="596"/>
      <c r="C12" s="589" t="s">
        <v>240</v>
      </c>
      <c r="D12" s="450">
        <v>4487.4949999999999</v>
      </c>
      <c r="E12" s="400">
        <v>5882.74</v>
      </c>
      <c r="F12" s="832">
        <v>14292.656629999999</v>
      </c>
      <c r="G12" s="832">
        <v>11219.657999999999</v>
      </c>
    </row>
    <row r="13" spans="1:37" s="480" customFormat="1" ht="12.75" customHeight="1">
      <c r="A13" s="591">
        <v>36</v>
      </c>
      <c r="B13" s="587"/>
      <c r="C13" s="585" t="s">
        <v>239</v>
      </c>
      <c r="D13" s="322">
        <v>806788.30700000003</v>
      </c>
      <c r="E13" s="361">
        <v>818001.7</v>
      </c>
      <c r="F13" s="832">
        <v>810229.71282999997</v>
      </c>
      <c r="G13" s="832">
        <v>853050.33600000001</v>
      </c>
    </row>
    <row r="14" spans="1:37" s="480" customFormat="1" ht="12.75" customHeight="1">
      <c r="A14" s="629" t="s">
        <v>238</v>
      </c>
      <c r="B14" s="587"/>
      <c r="C14" s="627" t="s">
        <v>237</v>
      </c>
      <c r="D14" s="322">
        <v>142147.30300000001</v>
      </c>
      <c r="E14" s="361">
        <v>154356.20000000001</v>
      </c>
      <c r="F14" s="832">
        <v>156594.90929999997</v>
      </c>
      <c r="G14" s="832">
        <v>161333.80300000001</v>
      </c>
    </row>
    <row r="15" spans="1:37" s="480" customFormat="1" ht="12.75" customHeight="1">
      <c r="A15" s="629" t="s">
        <v>236</v>
      </c>
      <c r="B15" s="587"/>
      <c r="C15" s="627" t="s">
        <v>235</v>
      </c>
      <c r="D15" s="322">
        <v>31040.768</v>
      </c>
      <c r="E15" s="361">
        <v>33663.699999999997</v>
      </c>
      <c r="F15" s="832">
        <v>31977.864980000002</v>
      </c>
      <c r="G15" s="832">
        <v>35999.4</v>
      </c>
    </row>
    <row r="16" spans="1:37" s="626" customFormat="1" ht="26.25" customHeight="1">
      <c r="A16" s="629" t="s">
        <v>234</v>
      </c>
      <c r="B16" s="668"/>
      <c r="C16" s="627" t="s">
        <v>233</v>
      </c>
      <c r="D16" s="442">
        <v>10051.166999999999</v>
      </c>
      <c r="E16" s="834">
        <v>11256</v>
      </c>
      <c r="F16" s="832">
        <v>9509.05026</v>
      </c>
      <c r="G16" s="832">
        <v>10419</v>
      </c>
    </row>
    <row r="17" spans="1:7" s="622" customFormat="1">
      <c r="A17" s="591">
        <v>37</v>
      </c>
      <c r="B17" s="587"/>
      <c r="C17" s="585" t="s">
        <v>211</v>
      </c>
      <c r="D17" s="431">
        <v>80720.513000000006</v>
      </c>
      <c r="E17" s="361">
        <v>82707.8</v>
      </c>
      <c r="F17" s="832">
        <v>82305.212549999997</v>
      </c>
      <c r="G17" s="832">
        <v>86329.4</v>
      </c>
    </row>
    <row r="18" spans="1:7" s="622" customFormat="1">
      <c r="A18" s="593" t="s">
        <v>232</v>
      </c>
      <c r="B18" s="587"/>
      <c r="C18" s="585" t="s">
        <v>231</v>
      </c>
      <c r="D18" s="438">
        <v>0</v>
      </c>
      <c r="E18" s="361">
        <v>0</v>
      </c>
      <c r="F18" s="832">
        <v>0</v>
      </c>
      <c r="G18" s="832">
        <v>0</v>
      </c>
    </row>
    <row r="19" spans="1:7" s="622" customFormat="1">
      <c r="A19" s="593" t="s">
        <v>230</v>
      </c>
      <c r="B19" s="587"/>
      <c r="C19" s="585" t="s">
        <v>229</v>
      </c>
      <c r="D19" s="438">
        <v>46577.745000000003</v>
      </c>
      <c r="E19" s="361">
        <v>48147</v>
      </c>
      <c r="F19" s="832">
        <v>46829.5576</v>
      </c>
      <c r="G19" s="832">
        <v>50095</v>
      </c>
    </row>
    <row r="20" spans="1:7" s="480" customFormat="1" ht="12.75" customHeight="1">
      <c r="A20" s="615">
        <v>39</v>
      </c>
      <c r="B20" s="614"/>
      <c r="C20" s="583" t="s">
        <v>228</v>
      </c>
      <c r="D20" s="333">
        <v>3883.136</v>
      </c>
      <c r="E20" s="354">
        <v>3143.1</v>
      </c>
      <c r="F20" s="832">
        <v>3148.6015700000003</v>
      </c>
      <c r="G20" s="832">
        <v>3191.4</v>
      </c>
    </row>
    <row r="21" spans="1:7" ht="12.75" customHeight="1">
      <c r="A21" s="578"/>
      <c r="B21" s="578"/>
      <c r="C21" s="576" t="s">
        <v>227</v>
      </c>
      <c r="D21" s="380">
        <f>D4+D5+SUM(D8:D13)+D17</f>
        <v>1367088.3190000001</v>
      </c>
      <c r="E21" s="380">
        <f>E4+E5+SUM(E8:E13)+E17</f>
        <v>1415050.169</v>
      </c>
      <c r="F21" s="380">
        <f>F4+F5+SUM(F8:F13)+F17</f>
        <v>1391593.1133399999</v>
      </c>
      <c r="G21" s="380">
        <f>G4+G5+SUM(G8:G13)+G17</f>
        <v>1444432.8736</v>
      </c>
    </row>
    <row r="22" spans="1:7" s="480" customFormat="1" ht="12.75" customHeight="1">
      <c r="A22" s="593" t="s">
        <v>226</v>
      </c>
      <c r="B22" s="587"/>
      <c r="C22" s="585" t="s">
        <v>225</v>
      </c>
      <c r="D22" s="317">
        <v>610501.75899999996</v>
      </c>
      <c r="E22" s="316">
        <v>661700</v>
      </c>
      <c r="F22" s="833">
        <v>605511.26139999996</v>
      </c>
      <c r="G22" s="833">
        <v>615600</v>
      </c>
    </row>
    <row r="23" spans="1:7" s="480" customFormat="1" ht="12.75" customHeight="1">
      <c r="A23" s="593" t="s">
        <v>224</v>
      </c>
      <c r="B23" s="587"/>
      <c r="C23" s="585" t="s">
        <v>223</v>
      </c>
      <c r="D23" s="317">
        <v>36414.442000000003</v>
      </c>
      <c r="E23" s="316">
        <v>32000</v>
      </c>
      <c r="F23" s="832">
        <v>32941.212070000001</v>
      </c>
      <c r="G23" s="832">
        <v>33400.000000000007</v>
      </c>
    </row>
    <row r="24" spans="1:7" s="621" customFormat="1" ht="12.75" customHeight="1">
      <c r="A24" s="591">
        <v>41</v>
      </c>
      <c r="B24" s="587"/>
      <c r="C24" s="585" t="s">
        <v>222</v>
      </c>
      <c r="D24" s="317">
        <v>11850.906999999999</v>
      </c>
      <c r="E24" s="316">
        <v>11658.5</v>
      </c>
      <c r="F24" s="832">
        <v>2161.4816499999997</v>
      </c>
      <c r="G24" s="832">
        <v>2160.1</v>
      </c>
    </row>
    <row r="25" spans="1:7" s="480" customFormat="1" ht="12.75" customHeight="1">
      <c r="A25" s="620">
        <v>42</v>
      </c>
      <c r="B25" s="619"/>
      <c r="C25" s="585" t="s">
        <v>221</v>
      </c>
      <c r="D25" s="317">
        <v>66466.86</v>
      </c>
      <c r="E25" s="316">
        <v>65310.207999999999</v>
      </c>
      <c r="F25" s="832">
        <v>66541.794250000006</v>
      </c>
      <c r="G25" s="832">
        <v>67028.294999999998</v>
      </c>
    </row>
    <row r="26" spans="1:7" s="618" customFormat="1" ht="12.75" customHeight="1">
      <c r="A26" s="597">
        <v>430</v>
      </c>
      <c r="B26" s="587"/>
      <c r="C26" s="585" t="s">
        <v>220</v>
      </c>
      <c r="D26" s="431">
        <v>132.4</v>
      </c>
      <c r="E26" s="316">
        <v>75</v>
      </c>
      <c r="F26" s="832">
        <v>329.76085</v>
      </c>
      <c r="G26" s="832">
        <v>75</v>
      </c>
    </row>
    <row r="27" spans="1:7" s="618" customFormat="1" ht="12.75" customHeight="1">
      <c r="A27" s="597">
        <v>431</v>
      </c>
      <c r="B27" s="587"/>
      <c r="C27" s="585" t="s">
        <v>219</v>
      </c>
      <c r="D27" s="431">
        <v>5968</v>
      </c>
      <c r="E27" s="316">
        <v>6764</v>
      </c>
      <c r="F27" s="832">
        <v>6035.1</v>
      </c>
      <c r="G27" s="832">
        <v>6505.0000000000009</v>
      </c>
    </row>
    <row r="28" spans="1:7" s="618" customFormat="1" ht="12.75" customHeight="1">
      <c r="A28" s="597">
        <v>432</v>
      </c>
      <c r="B28" s="587"/>
      <c r="C28" s="585" t="s">
        <v>218</v>
      </c>
      <c r="D28" s="431">
        <v>4.95</v>
      </c>
      <c r="E28" s="316">
        <v>2</v>
      </c>
      <c r="F28" s="832">
        <v>11.475</v>
      </c>
      <c r="G28" s="832">
        <v>-1.9999999999999998</v>
      </c>
    </row>
    <row r="29" spans="1:7" s="618" customFormat="1" ht="12.75" customHeight="1">
      <c r="A29" s="597">
        <v>439</v>
      </c>
      <c r="B29" s="587"/>
      <c r="C29" s="585" t="s">
        <v>217</v>
      </c>
      <c r="D29" s="431">
        <v>70.567999999999998</v>
      </c>
      <c r="E29" s="316">
        <v>59</v>
      </c>
      <c r="F29" s="832">
        <v>71.254009999999994</v>
      </c>
      <c r="G29" s="832">
        <v>53</v>
      </c>
    </row>
    <row r="30" spans="1:7" s="480" customFormat="1" ht="25.5">
      <c r="A30" s="597">
        <v>450</v>
      </c>
      <c r="B30" s="596"/>
      <c r="C30" s="589" t="s">
        <v>216</v>
      </c>
      <c r="D30" s="362">
        <v>0</v>
      </c>
      <c r="E30" s="361">
        <v>0</v>
      </c>
      <c r="F30" s="832">
        <v>0</v>
      </c>
      <c r="G30" s="832">
        <v>0</v>
      </c>
    </row>
    <row r="31" spans="1:7" s="579" customFormat="1" ht="25.5">
      <c r="A31" s="597">
        <v>451</v>
      </c>
      <c r="B31" s="596"/>
      <c r="C31" s="589" t="s">
        <v>215</v>
      </c>
      <c r="D31" s="311">
        <v>0</v>
      </c>
      <c r="E31" s="316">
        <v>0</v>
      </c>
      <c r="F31" s="832">
        <v>0</v>
      </c>
      <c r="G31" s="832">
        <v>0</v>
      </c>
    </row>
    <row r="32" spans="1:7" s="480" customFormat="1" ht="12.75" customHeight="1">
      <c r="A32" s="591">
        <v>46</v>
      </c>
      <c r="B32" s="587"/>
      <c r="C32" s="585" t="s">
        <v>214</v>
      </c>
      <c r="D32" s="317">
        <v>452133.21500000003</v>
      </c>
      <c r="E32" s="361">
        <v>453237.82</v>
      </c>
      <c r="F32" s="832">
        <v>424306.93449999997</v>
      </c>
      <c r="G32" s="832">
        <v>435472.55300000007</v>
      </c>
    </row>
    <row r="33" spans="1:7" s="579" customFormat="1" ht="12.75" customHeight="1">
      <c r="A33" s="617" t="s">
        <v>213</v>
      </c>
      <c r="B33" s="586"/>
      <c r="C33" s="616" t="s">
        <v>212</v>
      </c>
      <c r="D33" s="322">
        <v>0</v>
      </c>
      <c r="E33" s="361">
        <v>0</v>
      </c>
      <c r="F33" s="832">
        <v>0</v>
      </c>
      <c r="G33" s="832">
        <v>0</v>
      </c>
    </row>
    <row r="34" spans="1:7" s="480" customFormat="1" ht="15" customHeight="1">
      <c r="A34" s="591">
        <v>47</v>
      </c>
      <c r="B34" s="587"/>
      <c r="C34" s="585" t="s">
        <v>211</v>
      </c>
      <c r="D34" s="317">
        <v>80720.513000000006</v>
      </c>
      <c r="E34" s="361">
        <v>82707.8</v>
      </c>
      <c r="F34" s="832">
        <v>82305.212549999997</v>
      </c>
      <c r="G34" s="832">
        <v>86329.4</v>
      </c>
    </row>
    <row r="35" spans="1:7" s="480" customFormat="1" ht="15" customHeight="1">
      <c r="A35" s="615">
        <v>49</v>
      </c>
      <c r="B35" s="614"/>
      <c r="C35" s="583" t="s">
        <v>210</v>
      </c>
      <c r="D35" s="333">
        <v>3883.136</v>
      </c>
      <c r="E35" s="354">
        <v>3143.1</v>
      </c>
      <c r="F35" s="832">
        <v>3148.6015700000003</v>
      </c>
      <c r="G35" s="832">
        <v>3191.4</v>
      </c>
    </row>
    <row r="36" spans="1:7" ht="13.5" customHeight="1">
      <c r="A36" s="578"/>
      <c r="B36" s="606"/>
      <c r="C36" s="576" t="s">
        <v>209</v>
      </c>
      <c r="D36" s="380">
        <f>D22+D23+D24+D25+D26+D27+D28+D29+D30+D31+D32+D34</f>
        <v>1264263.6140000001</v>
      </c>
      <c r="E36" s="380">
        <f>E22+E23+E24+E25+E26+E27+E28+E29+E30+E31+E32+E34</f>
        <v>1313514.328</v>
      </c>
      <c r="F36" s="380">
        <f>F22+F23+F24+F25+F26+F27+F28+F29+F30+F31+F32+F34</f>
        <v>1220215.4862800001</v>
      </c>
      <c r="G36" s="380">
        <f>G22+G23+G24+G25+G26+G27+G28+G29+G30+G31+G32+G34</f>
        <v>1246621.348</v>
      </c>
    </row>
    <row r="37" spans="1:7" s="667" customFormat="1" ht="15" customHeight="1">
      <c r="A37" s="578"/>
      <c r="B37" s="606"/>
      <c r="C37" s="576" t="s">
        <v>208</v>
      </c>
      <c r="D37" s="380">
        <f>D36-D21</f>
        <v>-102824.70500000007</v>
      </c>
      <c r="E37" s="380">
        <f>E36-E21</f>
        <v>-101535.84100000001</v>
      </c>
      <c r="F37" s="380">
        <f>F36-F21</f>
        <v>-171377.62705999985</v>
      </c>
      <c r="G37" s="380">
        <f>G36-G21</f>
        <v>-197811.52560000005</v>
      </c>
    </row>
    <row r="38" spans="1:7" s="579" customFormat="1" ht="15" customHeight="1">
      <c r="A38" s="593">
        <v>340</v>
      </c>
      <c r="B38" s="587"/>
      <c r="C38" s="585" t="s">
        <v>207</v>
      </c>
      <c r="D38" s="317">
        <v>27.803000000000001</v>
      </c>
      <c r="E38" s="361">
        <v>35</v>
      </c>
      <c r="F38" s="833">
        <v>19.097999999999999</v>
      </c>
      <c r="G38" s="833">
        <v>30</v>
      </c>
    </row>
    <row r="39" spans="1:7" s="579" customFormat="1" ht="15" customHeight="1">
      <c r="A39" s="593">
        <v>341</v>
      </c>
      <c r="B39" s="587"/>
      <c r="C39" s="585" t="s">
        <v>206</v>
      </c>
      <c r="D39" s="317">
        <v>96.549000000000007</v>
      </c>
      <c r="E39" s="316">
        <v>0</v>
      </c>
      <c r="F39" s="832">
        <v>5.2434700000000003</v>
      </c>
      <c r="G39" s="832">
        <v>0</v>
      </c>
    </row>
    <row r="40" spans="1:7" s="579" customFormat="1" ht="15" customHeight="1">
      <c r="A40" s="593">
        <v>342</v>
      </c>
      <c r="B40" s="587"/>
      <c r="C40" s="585" t="s">
        <v>205</v>
      </c>
      <c r="D40" s="317">
        <v>0</v>
      </c>
      <c r="E40" s="316">
        <v>0</v>
      </c>
      <c r="F40" s="832">
        <v>0</v>
      </c>
      <c r="G40" s="832">
        <v>0</v>
      </c>
    </row>
    <row r="41" spans="1:7" s="579" customFormat="1" ht="15" customHeight="1">
      <c r="A41" s="593">
        <v>343</v>
      </c>
      <c r="B41" s="587"/>
      <c r="C41" s="585" t="s">
        <v>204</v>
      </c>
      <c r="D41" s="317">
        <v>917.13499999999999</v>
      </c>
      <c r="E41" s="316">
        <v>1085.952</v>
      </c>
      <c r="F41" s="832">
        <v>878.17900999999995</v>
      </c>
      <c r="G41" s="832">
        <v>858.47000000000014</v>
      </c>
    </row>
    <row r="42" spans="1:7" s="579" customFormat="1" ht="15" customHeight="1">
      <c r="A42" s="593">
        <v>344</v>
      </c>
      <c r="B42" s="587"/>
      <c r="C42" s="585" t="s">
        <v>198</v>
      </c>
      <c r="D42" s="317">
        <v>0</v>
      </c>
      <c r="E42" s="316">
        <v>0</v>
      </c>
      <c r="F42" s="832">
        <v>0</v>
      </c>
      <c r="G42" s="832">
        <v>0</v>
      </c>
    </row>
    <row r="43" spans="1:7" s="579" customFormat="1" ht="15" customHeight="1">
      <c r="A43" s="593">
        <v>349</v>
      </c>
      <c r="B43" s="587"/>
      <c r="C43" s="585" t="s">
        <v>203</v>
      </c>
      <c r="D43" s="317">
        <v>10621.29</v>
      </c>
      <c r="E43" s="316">
        <v>11250</v>
      </c>
      <c r="F43" s="832">
        <v>11265.50922</v>
      </c>
      <c r="G43" s="832">
        <v>11250</v>
      </c>
    </row>
    <row r="44" spans="1:7" s="480" customFormat="1" ht="15" customHeight="1">
      <c r="A44" s="591">
        <v>440</v>
      </c>
      <c r="B44" s="587"/>
      <c r="C44" s="585" t="s">
        <v>202</v>
      </c>
      <c r="D44" s="317">
        <v>7449.1049999999996</v>
      </c>
      <c r="E44" s="361">
        <v>4582.8999999999996</v>
      </c>
      <c r="F44" s="832">
        <v>5129.09879</v>
      </c>
      <c r="G44" s="832">
        <v>3357.3</v>
      </c>
    </row>
    <row r="45" spans="1:7" s="480" customFormat="1" ht="15" customHeight="1">
      <c r="A45" s="591">
        <v>441</v>
      </c>
      <c r="B45" s="587"/>
      <c r="C45" s="585" t="s">
        <v>201</v>
      </c>
      <c r="D45" s="317">
        <v>36.543999999999997</v>
      </c>
      <c r="E45" s="361">
        <v>0</v>
      </c>
      <c r="F45" s="832">
        <v>544.59400000000005</v>
      </c>
      <c r="G45" s="832">
        <v>0</v>
      </c>
    </row>
    <row r="46" spans="1:7" s="480" customFormat="1" ht="15" customHeight="1">
      <c r="A46" s="591">
        <v>442</v>
      </c>
      <c r="B46" s="587"/>
      <c r="C46" s="585" t="s">
        <v>200</v>
      </c>
      <c r="D46" s="317">
        <v>738</v>
      </c>
      <c r="E46" s="361">
        <v>738</v>
      </c>
      <c r="F46" s="832">
        <v>813</v>
      </c>
      <c r="G46" s="832">
        <v>813</v>
      </c>
    </row>
    <row r="47" spans="1:7" s="480" customFormat="1" ht="15" customHeight="1">
      <c r="A47" s="591">
        <v>443</v>
      </c>
      <c r="B47" s="587"/>
      <c r="C47" s="585" t="s">
        <v>199</v>
      </c>
      <c r="D47" s="317">
        <v>1107.174</v>
      </c>
      <c r="E47" s="361">
        <v>1103.33</v>
      </c>
      <c r="F47" s="832">
        <v>1218.8883000000001</v>
      </c>
      <c r="G47" s="832">
        <v>1073.03</v>
      </c>
    </row>
    <row r="48" spans="1:7" s="480" customFormat="1" ht="15" customHeight="1">
      <c r="A48" s="591">
        <v>444</v>
      </c>
      <c r="B48" s="587"/>
      <c r="C48" s="585" t="s">
        <v>198</v>
      </c>
      <c r="D48" s="317">
        <v>0</v>
      </c>
      <c r="E48" s="361">
        <v>0</v>
      </c>
      <c r="F48" s="832">
        <v>0</v>
      </c>
      <c r="G48" s="832">
        <v>0</v>
      </c>
    </row>
    <row r="49" spans="1:7" s="480" customFormat="1" ht="15" customHeight="1">
      <c r="A49" s="591">
        <v>445</v>
      </c>
      <c r="B49" s="587"/>
      <c r="C49" s="585" t="s">
        <v>197</v>
      </c>
      <c r="D49" s="317">
        <v>28527.567999999999</v>
      </c>
      <c r="E49" s="361">
        <v>28498</v>
      </c>
      <c r="F49" s="832">
        <v>28541.827950000003</v>
      </c>
      <c r="G49" s="832">
        <v>28474.1</v>
      </c>
    </row>
    <row r="50" spans="1:7" s="480" customFormat="1" ht="15" customHeight="1">
      <c r="A50" s="591">
        <v>446</v>
      </c>
      <c r="B50" s="587"/>
      <c r="C50" s="585" t="s">
        <v>196</v>
      </c>
      <c r="D50" s="317">
        <v>6</v>
      </c>
      <c r="E50" s="361">
        <v>6</v>
      </c>
      <c r="F50" s="832">
        <v>0</v>
      </c>
      <c r="G50" s="832">
        <v>6</v>
      </c>
    </row>
    <row r="51" spans="1:7" s="480" customFormat="1" ht="15" customHeight="1">
      <c r="A51" s="591">
        <v>447</v>
      </c>
      <c r="B51" s="587"/>
      <c r="C51" s="585" t="s">
        <v>195</v>
      </c>
      <c r="D51" s="317">
        <v>7780.7849999999999</v>
      </c>
      <c r="E51" s="361">
        <v>7706.3370000000004</v>
      </c>
      <c r="F51" s="832">
        <v>7871.8496399999995</v>
      </c>
      <c r="G51" s="832">
        <v>7800.54</v>
      </c>
    </row>
    <row r="52" spans="1:7" s="480" customFormat="1" ht="15" customHeight="1">
      <c r="A52" s="591">
        <v>448</v>
      </c>
      <c r="B52" s="587"/>
      <c r="C52" s="585" t="s">
        <v>194</v>
      </c>
      <c r="D52" s="317">
        <v>569.98699999999997</v>
      </c>
      <c r="E52" s="361">
        <v>567.20000000000005</v>
      </c>
      <c r="F52" s="832">
        <v>601.22490000000005</v>
      </c>
      <c r="G52" s="832">
        <v>571</v>
      </c>
    </row>
    <row r="53" spans="1:7" s="480" customFormat="1" ht="15" customHeight="1">
      <c r="A53" s="591">
        <v>449</v>
      </c>
      <c r="B53" s="587"/>
      <c r="C53" s="585" t="s">
        <v>193</v>
      </c>
      <c r="D53" s="317">
        <v>0</v>
      </c>
      <c r="E53" s="361">
        <v>0</v>
      </c>
      <c r="F53" s="832">
        <v>0</v>
      </c>
      <c r="G53" s="832">
        <v>0</v>
      </c>
    </row>
    <row r="54" spans="1:7" s="579" customFormat="1" ht="13.5" customHeight="1">
      <c r="A54" s="607" t="s">
        <v>192</v>
      </c>
      <c r="B54" s="580"/>
      <c r="C54" s="580" t="s">
        <v>191</v>
      </c>
      <c r="D54" s="300">
        <v>0</v>
      </c>
      <c r="E54" s="354">
        <v>0</v>
      </c>
      <c r="F54" s="832">
        <v>0</v>
      </c>
      <c r="G54" s="832">
        <v>0</v>
      </c>
    </row>
    <row r="55" spans="1:7" ht="15" customHeight="1">
      <c r="A55" s="606"/>
      <c r="B55" s="606"/>
      <c r="C55" s="576" t="s">
        <v>55</v>
      </c>
      <c r="D55" s="380">
        <f>SUM(D44:D53)-SUM(D38:D43)</f>
        <v>34552.386000000006</v>
      </c>
      <c r="E55" s="380">
        <f>SUM(E44:E53)-SUM(E38:E43)</f>
        <v>30830.814999999995</v>
      </c>
      <c r="F55" s="380">
        <f>SUM(F44:F53)-SUM(F38:F43)</f>
        <v>32552.453880000001</v>
      </c>
      <c r="G55" s="380">
        <f>SUM(G44:G53)-SUM(G38:G43)</f>
        <v>29956.5</v>
      </c>
    </row>
    <row r="56" spans="1:7" ht="14.25" customHeight="1">
      <c r="A56" s="606"/>
      <c r="B56" s="606"/>
      <c r="C56" s="576" t="s">
        <v>190</v>
      </c>
      <c r="D56" s="380">
        <f>D55+D37</f>
        <v>-68272.319000000076</v>
      </c>
      <c r="E56" s="380">
        <f>E55+E37</f>
        <v>-70705.026000000013</v>
      </c>
      <c r="F56" s="380">
        <f>F55+F37</f>
        <v>-138825.17317999987</v>
      </c>
      <c r="G56" s="380">
        <f>G55+G37</f>
        <v>-167855.02560000005</v>
      </c>
    </row>
    <row r="57" spans="1:7" s="480" customFormat="1" ht="15.75" customHeight="1">
      <c r="A57" s="605">
        <v>380</v>
      </c>
      <c r="B57" s="604"/>
      <c r="C57" s="603" t="s">
        <v>189</v>
      </c>
      <c r="D57" s="735"/>
      <c r="E57" s="801"/>
      <c r="F57" s="735">
        <v>0</v>
      </c>
      <c r="G57" s="801"/>
    </row>
    <row r="58" spans="1:7" s="480" customFormat="1" ht="15.75" customHeight="1">
      <c r="A58" s="605">
        <v>381</v>
      </c>
      <c r="B58" s="604"/>
      <c r="C58" s="603" t="s">
        <v>188</v>
      </c>
      <c r="D58" s="735"/>
      <c r="E58" s="801"/>
      <c r="F58" s="735">
        <v>0</v>
      </c>
      <c r="G58" s="801"/>
    </row>
    <row r="59" spans="1:7" s="830" customFormat="1" ht="25.5">
      <c r="A59" s="597">
        <v>383</v>
      </c>
      <c r="B59" s="596"/>
      <c r="C59" s="589" t="s">
        <v>187</v>
      </c>
      <c r="D59" s="343">
        <v>8529</v>
      </c>
      <c r="E59" s="563">
        <v>0</v>
      </c>
      <c r="F59" s="343">
        <v>0</v>
      </c>
      <c r="G59" s="563">
        <v>0</v>
      </c>
    </row>
    <row r="60" spans="1:7" s="579" customFormat="1">
      <c r="A60" s="597">
        <v>3840</v>
      </c>
      <c r="B60" s="596"/>
      <c r="C60" s="589" t="s">
        <v>186</v>
      </c>
      <c r="D60" s="401">
        <v>0</v>
      </c>
      <c r="E60" s="594">
        <v>0</v>
      </c>
      <c r="F60" s="401">
        <v>0</v>
      </c>
      <c r="G60" s="594">
        <v>0</v>
      </c>
    </row>
    <row r="61" spans="1:7" s="579" customFormat="1">
      <c r="A61" s="597">
        <v>3841</v>
      </c>
      <c r="B61" s="596"/>
      <c r="C61" s="589" t="s">
        <v>185</v>
      </c>
      <c r="D61" s="401">
        <v>0</v>
      </c>
      <c r="E61" s="594">
        <v>0</v>
      </c>
      <c r="F61" s="401">
        <v>0</v>
      </c>
      <c r="G61" s="594">
        <v>0</v>
      </c>
    </row>
    <row r="62" spans="1:7" s="579" customFormat="1">
      <c r="A62" s="600">
        <v>386</v>
      </c>
      <c r="B62" s="599"/>
      <c r="C62" s="598" t="s">
        <v>184</v>
      </c>
      <c r="D62" s="401">
        <v>0</v>
      </c>
      <c r="E62" s="594">
        <v>0</v>
      </c>
      <c r="F62" s="401">
        <v>0</v>
      </c>
      <c r="G62" s="594">
        <v>0</v>
      </c>
    </row>
    <row r="63" spans="1:7" s="579" customFormat="1" ht="25.5">
      <c r="A63" s="597">
        <v>387</v>
      </c>
      <c r="B63" s="596"/>
      <c r="C63" s="589" t="s">
        <v>183</v>
      </c>
      <c r="D63" s="401">
        <v>0</v>
      </c>
      <c r="E63" s="594">
        <v>0</v>
      </c>
      <c r="F63" s="401">
        <v>0</v>
      </c>
      <c r="G63" s="594">
        <v>1308</v>
      </c>
    </row>
    <row r="64" spans="1:7" s="579" customFormat="1">
      <c r="A64" s="593">
        <v>389</v>
      </c>
      <c r="B64" s="592"/>
      <c r="C64" s="585" t="s">
        <v>182</v>
      </c>
      <c r="D64" s="317">
        <v>444.26299999999998</v>
      </c>
      <c r="E64" s="316">
        <v>171.1</v>
      </c>
      <c r="F64" s="317">
        <v>167.86976000000001</v>
      </c>
      <c r="G64" s="317">
        <v>0</v>
      </c>
    </row>
    <row r="65" spans="1:7" s="480" customFormat="1">
      <c r="A65" s="593" t="s">
        <v>181</v>
      </c>
      <c r="B65" s="587"/>
      <c r="C65" s="585" t="s">
        <v>180</v>
      </c>
      <c r="D65" s="317">
        <v>0</v>
      </c>
      <c r="E65" s="316">
        <v>0</v>
      </c>
      <c r="F65" s="317">
        <v>0</v>
      </c>
      <c r="G65" s="316">
        <v>0</v>
      </c>
    </row>
    <row r="66" spans="1:7" s="588" customFormat="1">
      <c r="A66" s="666" t="s">
        <v>179</v>
      </c>
      <c r="B66" s="590"/>
      <c r="C66" s="589" t="s">
        <v>178</v>
      </c>
      <c r="D66" s="343">
        <v>0</v>
      </c>
      <c r="E66" s="342">
        <v>0</v>
      </c>
      <c r="F66" s="343">
        <v>0</v>
      </c>
      <c r="G66" s="342">
        <v>0</v>
      </c>
    </row>
    <row r="67" spans="1:7" s="480" customFormat="1">
      <c r="A67" s="584">
        <v>481</v>
      </c>
      <c r="B67" s="587"/>
      <c r="C67" s="585" t="s">
        <v>177</v>
      </c>
      <c r="D67" s="317">
        <v>0</v>
      </c>
      <c r="E67" s="316">
        <v>0</v>
      </c>
      <c r="F67" s="317">
        <v>0</v>
      </c>
      <c r="G67" s="316">
        <v>0</v>
      </c>
    </row>
    <row r="68" spans="1:7" s="480" customFormat="1">
      <c r="A68" s="584">
        <v>482</v>
      </c>
      <c r="B68" s="587"/>
      <c r="C68" s="585" t="s">
        <v>176</v>
      </c>
      <c r="D68" s="317">
        <v>0</v>
      </c>
      <c r="E68" s="316">
        <v>0</v>
      </c>
      <c r="F68" s="317">
        <v>0</v>
      </c>
      <c r="G68" s="316">
        <v>0</v>
      </c>
    </row>
    <row r="69" spans="1:7" s="480" customFormat="1">
      <c r="A69" s="584">
        <v>483</v>
      </c>
      <c r="B69" s="587"/>
      <c r="C69" s="585" t="s">
        <v>175</v>
      </c>
      <c r="D69" s="317">
        <v>0</v>
      </c>
      <c r="E69" s="316">
        <v>0</v>
      </c>
      <c r="F69" s="317">
        <v>0</v>
      </c>
      <c r="G69" s="316">
        <v>0</v>
      </c>
    </row>
    <row r="70" spans="1:7" s="480" customFormat="1">
      <c r="A70" s="584">
        <v>484</v>
      </c>
      <c r="B70" s="587"/>
      <c r="C70" s="585" t="s">
        <v>174</v>
      </c>
      <c r="D70" s="317">
        <v>0</v>
      </c>
      <c r="E70" s="316">
        <v>0</v>
      </c>
      <c r="F70" s="317">
        <v>0</v>
      </c>
      <c r="G70" s="316">
        <v>0</v>
      </c>
    </row>
    <row r="71" spans="1:7" s="480" customFormat="1">
      <c r="A71" s="584">
        <v>485</v>
      </c>
      <c r="B71" s="587"/>
      <c r="C71" s="585" t="s">
        <v>173</v>
      </c>
      <c r="D71" s="317">
        <v>0</v>
      </c>
      <c r="E71" s="316">
        <v>0</v>
      </c>
      <c r="F71" s="317">
        <v>0</v>
      </c>
      <c r="G71" s="316">
        <v>0</v>
      </c>
    </row>
    <row r="72" spans="1:7" s="480" customFormat="1">
      <c r="A72" s="584">
        <v>486</v>
      </c>
      <c r="B72" s="587"/>
      <c r="C72" s="585" t="s">
        <v>172</v>
      </c>
      <c r="D72" s="317">
        <v>0</v>
      </c>
      <c r="E72" s="316">
        <v>0</v>
      </c>
      <c r="F72" s="317">
        <v>0</v>
      </c>
      <c r="G72" s="316">
        <v>0</v>
      </c>
    </row>
    <row r="73" spans="1:7" s="579" customFormat="1">
      <c r="A73" s="584">
        <v>487</v>
      </c>
      <c r="B73" s="586"/>
      <c r="C73" s="585" t="s">
        <v>171</v>
      </c>
      <c r="D73" s="317">
        <v>0</v>
      </c>
      <c r="E73" s="361">
        <v>0</v>
      </c>
      <c r="F73" s="317">
        <v>0</v>
      </c>
      <c r="G73" s="361">
        <v>0</v>
      </c>
    </row>
    <row r="74" spans="1:7" s="579" customFormat="1">
      <c r="A74" s="584">
        <v>489</v>
      </c>
      <c r="B74" s="581"/>
      <c r="C74" s="583" t="s">
        <v>170</v>
      </c>
      <c r="D74" s="317">
        <v>56741.39</v>
      </c>
      <c r="E74" s="361">
        <v>132.47499999999999</v>
      </c>
      <c r="F74" s="317">
        <v>0</v>
      </c>
      <c r="G74" s="317">
        <v>40000</v>
      </c>
    </row>
    <row r="75" spans="1:7" s="579" customFormat="1">
      <c r="A75" s="582" t="s">
        <v>169</v>
      </c>
      <c r="B75" s="581"/>
      <c r="C75" s="580" t="s">
        <v>168</v>
      </c>
      <c r="D75" s="317"/>
      <c r="E75" s="316"/>
      <c r="F75" s="317">
        <v>0</v>
      </c>
      <c r="G75" s="316">
        <v>0</v>
      </c>
    </row>
    <row r="76" spans="1:7">
      <c r="A76" s="578"/>
      <c r="B76" s="578"/>
      <c r="C76" s="576" t="s">
        <v>167</v>
      </c>
      <c r="D76" s="380">
        <f>SUM(D65:D74)-SUM(D57:D64)</f>
        <v>47768.127</v>
      </c>
      <c r="E76" s="380">
        <f>SUM(E65:E74)-SUM(E57:E64)</f>
        <v>-38.625</v>
      </c>
      <c r="F76" s="380">
        <f>SUM(F65:F74)-SUM(F57:F64)</f>
        <v>-167.86976000000001</v>
      </c>
      <c r="G76" s="380">
        <f>SUM(G65:G74)-SUM(G57:G64)</f>
        <v>38692</v>
      </c>
    </row>
    <row r="77" spans="1:7">
      <c r="A77" s="577"/>
      <c r="B77" s="577"/>
      <c r="C77" s="576" t="s">
        <v>166</v>
      </c>
      <c r="D77" s="380">
        <f>D56+D76</f>
        <v>-20504.192000000075</v>
      </c>
      <c r="E77" s="380">
        <f>E56+E76</f>
        <v>-70743.651000000013</v>
      </c>
      <c r="F77" s="380">
        <f>F56+F76</f>
        <v>-138993.04293999987</v>
      </c>
      <c r="G77" s="380">
        <f>G56+G76</f>
        <v>-129163.02560000005</v>
      </c>
    </row>
    <row r="78" spans="1:7">
      <c r="A78" s="575">
        <v>3</v>
      </c>
      <c r="B78" s="575"/>
      <c r="C78" s="574" t="s">
        <v>165</v>
      </c>
      <c r="D78" s="377">
        <f>D20+D21+SUM(D38:D43)+SUM(D57:D64)</f>
        <v>1391607.4950000001</v>
      </c>
      <c r="E78" s="377">
        <f>E20+E21+SUM(E38:E43)+SUM(E57:E64)</f>
        <v>1430735.3210000002</v>
      </c>
      <c r="F78" s="377">
        <f>F20+F21+SUM(F38:F43)+SUM(F57:F64)</f>
        <v>1407077.6143699999</v>
      </c>
      <c r="G78" s="377">
        <f>G20+G21+SUM(G38:G43)+SUM(G57:G64)</f>
        <v>1461070.7435999999</v>
      </c>
    </row>
    <row r="79" spans="1:7">
      <c r="A79" s="575">
        <v>4</v>
      </c>
      <c r="B79" s="575"/>
      <c r="C79" s="574" t="s">
        <v>164</v>
      </c>
      <c r="D79" s="377">
        <f>D35+D36+SUM(D44:D53)+SUM(D65:D74)</f>
        <v>1371103.3029999998</v>
      </c>
      <c r="E79" s="377">
        <f>E35+E36+SUM(E44:E53)+SUM(E65:E74)</f>
        <v>1359991.6700000002</v>
      </c>
      <c r="F79" s="377">
        <f>F35+F36+SUM(F44:F53)+SUM(F65:F74)</f>
        <v>1268084.57143</v>
      </c>
      <c r="G79" s="377">
        <f>G35+G36+SUM(G44:G53)+SUM(G65:G74)</f>
        <v>1331907.7179999999</v>
      </c>
    </row>
    <row r="80" spans="1:7">
      <c r="A80" s="534"/>
      <c r="B80" s="534"/>
      <c r="C80" s="533"/>
      <c r="D80" s="260"/>
      <c r="E80" s="260"/>
      <c r="F80" s="260"/>
      <c r="G80" s="260"/>
    </row>
    <row r="81" spans="1:7">
      <c r="A81" s="951" t="s">
        <v>163</v>
      </c>
      <c r="B81" s="952"/>
      <c r="C81" s="952"/>
      <c r="D81" s="376"/>
      <c r="E81" s="375"/>
      <c r="F81" s="376"/>
      <c r="G81" s="375"/>
    </row>
    <row r="82" spans="1:7" s="480" customFormat="1">
      <c r="A82" s="567">
        <v>50</v>
      </c>
      <c r="B82" s="565"/>
      <c r="C82" s="565" t="s">
        <v>162</v>
      </c>
      <c r="D82" s="317">
        <v>72328.172999999995</v>
      </c>
      <c r="E82" s="316">
        <v>100542</v>
      </c>
      <c r="F82" s="317">
        <v>105178.81994</v>
      </c>
      <c r="G82" s="316">
        <v>89471</v>
      </c>
    </row>
    <row r="83" spans="1:7" s="480" customFormat="1">
      <c r="A83" s="567">
        <v>51</v>
      </c>
      <c r="B83" s="565"/>
      <c r="C83" s="565" t="s">
        <v>161</v>
      </c>
      <c r="D83" s="317">
        <v>0</v>
      </c>
      <c r="E83" s="316">
        <v>0</v>
      </c>
      <c r="F83" s="317">
        <v>0</v>
      </c>
      <c r="G83" s="316">
        <v>0</v>
      </c>
    </row>
    <row r="84" spans="1:7" s="480" customFormat="1">
      <c r="A84" s="567">
        <v>52</v>
      </c>
      <c r="B84" s="565"/>
      <c r="C84" s="565" t="s">
        <v>160</v>
      </c>
      <c r="D84" s="317">
        <v>0</v>
      </c>
      <c r="E84" s="316">
        <v>0</v>
      </c>
      <c r="F84" s="317">
        <v>0</v>
      </c>
      <c r="G84" s="316">
        <v>0</v>
      </c>
    </row>
    <row r="85" spans="1:7" s="480" customFormat="1">
      <c r="A85" s="571">
        <v>54</v>
      </c>
      <c r="B85" s="570"/>
      <c r="C85" s="570" t="s">
        <v>117</v>
      </c>
      <c r="D85" s="322">
        <v>5301.4</v>
      </c>
      <c r="E85" s="316">
        <v>3680</v>
      </c>
      <c r="F85" s="322">
        <v>2856.5</v>
      </c>
      <c r="G85" s="316">
        <v>3600.0000000000005</v>
      </c>
    </row>
    <row r="86" spans="1:7" s="480" customFormat="1">
      <c r="A86" s="571">
        <v>55</v>
      </c>
      <c r="B86" s="570"/>
      <c r="C86" s="570" t="s">
        <v>159</v>
      </c>
      <c r="D86" s="322">
        <v>1308.001</v>
      </c>
      <c r="E86" s="316">
        <v>0</v>
      </c>
      <c r="F86" s="322">
        <v>0</v>
      </c>
      <c r="G86" s="316">
        <v>0</v>
      </c>
    </row>
    <row r="87" spans="1:7" s="480" customFormat="1">
      <c r="A87" s="571">
        <v>56</v>
      </c>
      <c r="B87" s="570"/>
      <c r="C87" s="570" t="s">
        <v>158</v>
      </c>
      <c r="D87" s="322">
        <v>6936.3469999999998</v>
      </c>
      <c r="E87" s="316">
        <v>13028.2</v>
      </c>
      <c r="F87" s="322">
        <v>4029.4364000000005</v>
      </c>
      <c r="G87" s="316">
        <v>5898.3</v>
      </c>
    </row>
    <row r="88" spans="1:7" s="480" customFormat="1">
      <c r="A88" s="567">
        <v>57</v>
      </c>
      <c r="B88" s="565"/>
      <c r="C88" s="565" t="s">
        <v>143</v>
      </c>
      <c r="D88" s="317">
        <v>3446.2159999999999</v>
      </c>
      <c r="E88" s="316">
        <v>5350</v>
      </c>
      <c r="F88" s="317">
        <v>2792.2265499999999</v>
      </c>
      <c r="G88" s="316">
        <v>3352.9999999999995</v>
      </c>
    </row>
    <row r="89" spans="1:7" s="480" customFormat="1">
      <c r="A89" s="567">
        <v>580</v>
      </c>
      <c r="B89" s="565"/>
      <c r="C89" s="565" t="s">
        <v>157</v>
      </c>
      <c r="D89" s="317">
        <v>0</v>
      </c>
      <c r="E89" s="316">
        <v>0</v>
      </c>
      <c r="F89" s="317">
        <v>0</v>
      </c>
      <c r="G89" s="316">
        <v>0</v>
      </c>
    </row>
    <row r="90" spans="1:7" s="480" customFormat="1">
      <c r="A90" s="567">
        <v>582</v>
      </c>
      <c r="B90" s="565"/>
      <c r="C90" s="565" t="s">
        <v>156</v>
      </c>
      <c r="D90" s="317">
        <v>0</v>
      </c>
      <c r="E90" s="316">
        <v>0</v>
      </c>
      <c r="F90" s="317">
        <v>0</v>
      </c>
      <c r="G90" s="316">
        <v>0</v>
      </c>
    </row>
    <row r="91" spans="1:7" s="480" customFormat="1">
      <c r="A91" s="567">
        <v>584</v>
      </c>
      <c r="B91" s="565"/>
      <c r="C91" s="565" t="s">
        <v>155</v>
      </c>
      <c r="D91" s="317">
        <v>0</v>
      </c>
      <c r="E91" s="316">
        <v>0</v>
      </c>
      <c r="F91" s="317">
        <v>0</v>
      </c>
      <c r="G91" s="316">
        <v>0</v>
      </c>
    </row>
    <row r="92" spans="1:7" s="480" customFormat="1">
      <c r="A92" s="567">
        <v>585</v>
      </c>
      <c r="B92" s="565"/>
      <c r="C92" s="565" t="s">
        <v>154</v>
      </c>
      <c r="D92" s="317">
        <v>0</v>
      </c>
      <c r="E92" s="316">
        <v>0</v>
      </c>
      <c r="F92" s="317">
        <v>0</v>
      </c>
      <c r="G92" s="316">
        <v>0</v>
      </c>
    </row>
    <row r="93" spans="1:7" s="480" customFormat="1">
      <c r="A93" s="567">
        <v>586</v>
      </c>
      <c r="B93" s="565"/>
      <c r="C93" s="565" t="s">
        <v>153</v>
      </c>
      <c r="D93" s="317">
        <v>0</v>
      </c>
      <c r="E93" s="316">
        <v>0</v>
      </c>
      <c r="F93" s="317">
        <v>0</v>
      </c>
      <c r="G93" s="316">
        <v>0</v>
      </c>
    </row>
    <row r="94" spans="1:7" s="480" customFormat="1">
      <c r="A94" s="568">
        <v>589</v>
      </c>
      <c r="B94" s="561"/>
      <c r="C94" s="561" t="s">
        <v>152</v>
      </c>
      <c r="D94" s="333">
        <v>0</v>
      </c>
      <c r="E94" s="372">
        <v>0</v>
      </c>
      <c r="F94" s="333">
        <v>0</v>
      </c>
      <c r="G94" s="372">
        <v>0</v>
      </c>
    </row>
    <row r="95" spans="1:7">
      <c r="A95" s="557">
        <v>5</v>
      </c>
      <c r="B95" s="555"/>
      <c r="C95" s="555" t="s">
        <v>151</v>
      </c>
      <c r="D95" s="348">
        <f>SUM(D82:D94)</f>
        <v>89320.136999999988</v>
      </c>
      <c r="E95" s="348">
        <f>SUM(E82:E94)</f>
        <v>122600.2</v>
      </c>
      <c r="F95" s="348">
        <f>SUM(F82:F94)</f>
        <v>114856.98289000001</v>
      </c>
      <c r="G95" s="348">
        <f>SUM(G82:G94)</f>
        <v>102322.3</v>
      </c>
    </row>
    <row r="96" spans="1:7" s="480" customFormat="1">
      <c r="A96" s="567">
        <v>60</v>
      </c>
      <c r="B96" s="565"/>
      <c r="C96" s="565" t="s">
        <v>150</v>
      </c>
      <c r="D96" s="317">
        <v>242.268</v>
      </c>
      <c r="E96" s="316">
        <v>5</v>
      </c>
      <c r="F96" s="317">
        <v>30.912909999999997</v>
      </c>
      <c r="G96" s="316">
        <v>5</v>
      </c>
    </row>
    <row r="97" spans="1:7" s="480" customFormat="1">
      <c r="A97" s="567">
        <v>61</v>
      </c>
      <c r="B97" s="565"/>
      <c r="C97" s="565" t="s">
        <v>149</v>
      </c>
      <c r="D97" s="317">
        <v>19.782</v>
      </c>
      <c r="E97" s="316">
        <v>0</v>
      </c>
      <c r="F97" s="317">
        <v>22.89</v>
      </c>
      <c r="G97" s="316">
        <v>0</v>
      </c>
    </row>
    <row r="98" spans="1:7" s="480" customFormat="1">
      <c r="A98" s="567">
        <v>62</v>
      </c>
      <c r="B98" s="565"/>
      <c r="C98" s="565" t="s">
        <v>148</v>
      </c>
      <c r="D98" s="317">
        <v>0</v>
      </c>
      <c r="E98" s="316"/>
      <c r="F98" s="317">
        <v>0</v>
      </c>
      <c r="G98" s="316">
        <v>0</v>
      </c>
    </row>
    <row r="99" spans="1:7" s="480" customFormat="1">
      <c r="A99" s="567">
        <v>63</v>
      </c>
      <c r="B99" s="565"/>
      <c r="C99" s="565" t="s">
        <v>147</v>
      </c>
      <c r="D99" s="317">
        <v>5649.8109999999997</v>
      </c>
      <c r="E99" s="316">
        <v>15422.5</v>
      </c>
      <c r="F99" s="317">
        <v>15372.03515</v>
      </c>
      <c r="G99" s="316">
        <v>6682.6350000000002</v>
      </c>
    </row>
    <row r="100" spans="1:7" s="480" customFormat="1">
      <c r="A100" s="567">
        <v>64</v>
      </c>
      <c r="B100" s="565"/>
      <c r="C100" s="565" t="s">
        <v>146</v>
      </c>
      <c r="D100" s="322">
        <v>2924.4050000000002</v>
      </c>
      <c r="E100" s="316">
        <v>3000</v>
      </c>
      <c r="F100" s="322">
        <v>3209.5166099999997</v>
      </c>
      <c r="G100" s="316">
        <v>3018</v>
      </c>
    </row>
    <row r="101" spans="1:7" s="480" customFormat="1">
      <c r="A101" s="567">
        <v>65</v>
      </c>
      <c r="B101" s="565"/>
      <c r="C101" s="565" t="s">
        <v>145</v>
      </c>
      <c r="D101" s="317">
        <v>0</v>
      </c>
      <c r="E101" s="316">
        <v>0</v>
      </c>
      <c r="F101" s="317">
        <v>0</v>
      </c>
      <c r="G101" s="316">
        <v>0</v>
      </c>
    </row>
    <row r="102" spans="1:7" s="480" customFormat="1">
      <c r="A102" s="567">
        <v>66</v>
      </c>
      <c r="B102" s="565"/>
      <c r="C102" s="565" t="s">
        <v>144</v>
      </c>
      <c r="D102" s="322">
        <v>0</v>
      </c>
      <c r="E102" s="316">
        <v>0</v>
      </c>
      <c r="F102" s="322">
        <v>21.141749999999998</v>
      </c>
      <c r="G102" s="316">
        <v>0</v>
      </c>
    </row>
    <row r="103" spans="1:7" s="480" customFormat="1">
      <c r="A103" s="567">
        <v>67</v>
      </c>
      <c r="B103" s="565"/>
      <c r="C103" s="565" t="s">
        <v>143</v>
      </c>
      <c r="D103" s="317">
        <v>3446.2159999999999</v>
      </c>
      <c r="E103" s="361">
        <v>5350</v>
      </c>
      <c r="F103" s="317">
        <v>2792.2265499999999</v>
      </c>
      <c r="G103" s="361">
        <v>3352.9999999999995</v>
      </c>
    </row>
    <row r="104" spans="1:7" s="480" customFormat="1" ht="25.5">
      <c r="A104" s="566" t="s">
        <v>142</v>
      </c>
      <c r="B104" s="565"/>
      <c r="C104" s="564" t="s">
        <v>141</v>
      </c>
      <c r="D104" s="362">
        <v>0</v>
      </c>
      <c r="E104" s="361"/>
      <c r="F104" s="362">
        <v>0</v>
      </c>
      <c r="G104" s="361">
        <v>0</v>
      </c>
    </row>
    <row r="105" spans="1:7" s="480" customFormat="1" ht="38.25">
      <c r="A105" s="562" t="s">
        <v>140</v>
      </c>
      <c r="B105" s="561"/>
      <c r="C105" s="560" t="s">
        <v>139</v>
      </c>
      <c r="D105" s="355">
        <v>0</v>
      </c>
      <c r="E105" s="354"/>
      <c r="F105" s="355">
        <v>0</v>
      </c>
      <c r="G105" s="354">
        <v>0</v>
      </c>
    </row>
    <row r="106" spans="1:7">
      <c r="A106" s="557">
        <v>6</v>
      </c>
      <c r="B106" s="555"/>
      <c r="C106" s="555" t="s">
        <v>138</v>
      </c>
      <c r="D106" s="348">
        <f>SUM(D96:D105)</f>
        <v>12282.482</v>
      </c>
      <c r="E106" s="348">
        <f>SUM(E96:E105)</f>
        <v>23777.5</v>
      </c>
      <c r="F106" s="348">
        <f>SUM(F96:F105)</f>
        <v>21448.722969999999</v>
      </c>
      <c r="G106" s="348">
        <f>SUM(G96:G105)</f>
        <v>13058.635</v>
      </c>
    </row>
    <row r="107" spans="1:7">
      <c r="A107" s="556" t="s">
        <v>137</v>
      </c>
      <c r="B107" s="556"/>
      <c r="C107" s="555" t="s">
        <v>3</v>
      </c>
      <c r="D107" s="348">
        <f>(D95-D88)-(D106-D103)</f>
        <v>77037.654999999984</v>
      </c>
      <c r="E107" s="348">
        <f>(E95-E88)-(E106-E103)</f>
        <v>98822.7</v>
      </c>
      <c r="F107" s="348">
        <f>(F95-F88)-(F106-F103)</f>
        <v>93408.259920000011</v>
      </c>
      <c r="G107" s="348">
        <f>(G95-G88)-(G106-G103)</f>
        <v>89263.665000000008</v>
      </c>
    </row>
    <row r="108" spans="1:7">
      <c r="A108" s="554" t="s">
        <v>136</v>
      </c>
      <c r="B108" s="554"/>
      <c r="C108" s="553" t="s">
        <v>135</v>
      </c>
      <c r="D108" s="552">
        <f>D107-D85-D86+D100+D101</f>
        <v>73352.658999999985</v>
      </c>
      <c r="E108" s="552">
        <f>E107-E85-E86+E100+E101</f>
        <v>98142.7</v>
      </c>
      <c r="F108" s="552">
        <f>F107-F85-F86+F100+F101</f>
        <v>93761.276530000017</v>
      </c>
      <c r="G108" s="552">
        <f>G107-G85-G86+G100+G101</f>
        <v>88681.665000000008</v>
      </c>
    </row>
    <row r="109" spans="1:7">
      <c r="A109" s="534"/>
      <c r="B109" s="534"/>
      <c r="C109" s="533"/>
      <c r="D109" s="260"/>
      <c r="E109" s="260"/>
      <c r="F109" s="260"/>
      <c r="G109" s="260"/>
    </row>
    <row r="110" spans="1:7" s="512" customFormat="1">
      <c r="A110" s="550" t="s">
        <v>134</v>
      </c>
      <c r="B110" s="551"/>
      <c r="C110" s="550"/>
      <c r="D110" s="260"/>
      <c r="E110" s="260"/>
      <c r="F110" s="260"/>
      <c r="G110" s="260"/>
    </row>
    <row r="111" spans="1:7" s="516" customFormat="1">
      <c r="A111" s="532">
        <v>10</v>
      </c>
      <c r="B111" s="531"/>
      <c r="C111" s="531" t="s">
        <v>133</v>
      </c>
      <c r="D111" s="327">
        <f>D112+D117</f>
        <v>1314619.8460000001</v>
      </c>
      <c r="E111" s="326">
        <f>E112+E117</f>
        <v>0</v>
      </c>
      <c r="F111" s="327">
        <f>F112+F117</f>
        <v>1214743.27789</v>
      </c>
      <c r="G111" s="326">
        <f>G112+G117</f>
        <v>0</v>
      </c>
    </row>
    <row r="112" spans="1:7" s="516" customFormat="1">
      <c r="A112" s="539" t="s">
        <v>132</v>
      </c>
      <c r="B112" s="519"/>
      <c r="C112" s="519" t="s">
        <v>131</v>
      </c>
      <c r="D112" s="327">
        <f>D113+D114+D115+D116</f>
        <v>1143379.7850000001</v>
      </c>
      <c r="E112" s="326">
        <f>E113+E114+E115+E116</f>
        <v>0</v>
      </c>
      <c r="F112" s="327">
        <f>F113+F114+F115+F116</f>
        <v>842947.03463999997</v>
      </c>
      <c r="G112" s="326">
        <f>G113+G114+G115+G116</f>
        <v>0</v>
      </c>
    </row>
    <row r="113" spans="1:7" s="516" customFormat="1">
      <c r="A113" s="537" t="s">
        <v>130</v>
      </c>
      <c r="B113" s="526"/>
      <c r="C113" s="526" t="s">
        <v>129</v>
      </c>
      <c r="D113" s="317">
        <v>514598.42800000001</v>
      </c>
      <c r="E113" s="316"/>
      <c r="F113" s="316">
        <f>528804.84171+92767.0682</f>
        <v>621571.90990999993</v>
      </c>
      <c r="G113" s="316"/>
    </row>
    <row r="114" spans="1:7" s="546" customFormat="1" ht="15" customHeight="1">
      <c r="A114" s="524">
        <v>102</v>
      </c>
      <c r="B114" s="665"/>
      <c r="C114" s="665" t="s">
        <v>128</v>
      </c>
      <c r="D114" s="343">
        <v>610000</v>
      </c>
      <c r="E114" s="342"/>
      <c r="F114" s="342">
        <v>160000</v>
      </c>
      <c r="G114" s="342"/>
    </row>
    <row r="115" spans="1:7" s="516" customFormat="1">
      <c r="A115" s="537">
        <v>104</v>
      </c>
      <c r="B115" s="526"/>
      <c r="C115" s="526" t="s">
        <v>127</v>
      </c>
      <c r="D115" s="317">
        <v>17632.216</v>
      </c>
      <c r="E115" s="316"/>
      <c r="F115" s="316">
        <v>60130.019070000002</v>
      </c>
      <c r="G115" s="316"/>
    </row>
    <row r="116" spans="1:7" s="516" customFormat="1">
      <c r="A116" s="537">
        <v>106</v>
      </c>
      <c r="B116" s="526"/>
      <c r="C116" s="526" t="s">
        <v>126</v>
      </c>
      <c r="D116" s="317">
        <v>1149.1410000000001</v>
      </c>
      <c r="E116" s="316"/>
      <c r="F116" s="316">
        <v>1245.1056599999999</v>
      </c>
      <c r="G116" s="316"/>
    </row>
    <row r="117" spans="1:7" s="516" customFormat="1">
      <c r="A117" s="539" t="s">
        <v>125</v>
      </c>
      <c r="B117" s="519"/>
      <c r="C117" s="519" t="s">
        <v>124</v>
      </c>
      <c r="D117" s="327">
        <f>D118+D119+D120</f>
        <v>171240.06099999999</v>
      </c>
      <c r="E117" s="326">
        <f>E118+E119+E120</f>
        <v>0</v>
      </c>
      <c r="F117" s="327">
        <f>F118+F119+F120</f>
        <v>371796.24325</v>
      </c>
      <c r="G117" s="326">
        <f>G118+G119+G120</f>
        <v>0</v>
      </c>
    </row>
    <row r="118" spans="1:7" s="516" customFormat="1">
      <c r="A118" s="537">
        <v>107</v>
      </c>
      <c r="B118" s="526"/>
      <c r="C118" s="526" t="s">
        <v>123</v>
      </c>
      <c r="D118" s="317">
        <v>78928.5</v>
      </c>
      <c r="E118" s="316"/>
      <c r="F118" s="316">
        <v>280585</v>
      </c>
      <c r="G118" s="316"/>
    </row>
    <row r="119" spans="1:7" s="516" customFormat="1">
      <c r="A119" s="537">
        <v>108</v>
      </c>
      <c r="B119" s="526"/>
      <c r="C119" s="526" t="s">
        <v>122</v>
      </c>
      <c r="D119" s="317">
        <v>92311.561000000002</v>
      </c>
      <c r="E119" s="316"/>
      <c r="F119" s="316">
        <v>91211.24325</v>
      </c>
      <c r="G119" s="316"/>
    </row>
    <row r="120" spans="1:7" s="538" customFormat="1" ht="25.5">
      <c r="A120" s="524">
        <v>109</v>
      </c>
      <c r="B120" s="523"/>
      <c r="C120" s="523" t="s">
        <v>121</v>
      </c>
      <c r="D120" s="311">
        <v>0</v>
      </c>
      <c r="E120" s="310"/>
      <c r="F120" s="310">
        <v>0</v>
      </c>
      <c r="G120" s="310"/>
    </row>
    <row r="121" spans="1:7" s="516" customFormat="1">
      <c r="A121" s="539">
        <v>14</v>
      </c>
      <c r="B121" s="519"/>
      <c r="C121" s="519" t="s">
        <v>120</v>
      </c>
      <c r="D121" s="327">
        <f>SUM(D122:D130)</f>
        <v>436491.48799999995</v>
      </c>
      <c r="E121" s="327">
        <f>SUM(E122:E130)</f>
        <v>0</v>
      </c>
      <c r="F121" s="327">
        <f>SUM(F122:F130)</f>
        <v>460628.47168999998</v>
      </c>
      <c r="G121" s="327">
        <f>SUM(G122:G130)</f>
        <v>0</v>
      </c>
    </row>
    <row r="122" spans="1:7" s="516" customFormat="1">
      <c r="A122" s="537" t="s">
        <v>119</v>
      </c>
      <c r="B122" s="526"/>
      <c r="C122" s="526" t="s">
        <v>118</v>
      </c>
      <c r="D122" s="317">
        <v>231040</v>
      </c>
      <c r="E122" s="316"/>
      <c r="F122" s="316">
        <v>260095</v>
      </c>
      <c r="G122" s="316"/>
    </row>
    <row r="123" spans="1:7" s="516" customFormat="1">
      <c r="A123" s="537">
        <v>144</v>
      </c>
      <c r="B123" s="526"/>
      <c r="C123" s="526" t="s">
        <v>117</v>
      </c>
      <c r="D123" s="317">
        <v>41975.474000000002</v>
      </c>
      <c r="E123" s="316"/>
      <c r="F123" s="316">
        <v>41622.457690000003</v>
      </c>
      <c r="G123" s="316"/>
    </row>
    <row r="124" spans="1:7" s="516" customFormat="1">
      <c r="A124" s="537">
        <v>145</v>
      </c>
      <c r="B124" s="526"/>
      <c r="C124" s="526" t="s">
        <v>116</v>
      </c>
      <c r="D124" s="317">
        <v>73416.013000000006</v>
      </c>
      <c r="E124" s="304"/>
      <c r="F124" s="304">
        <v>73412.013000000006</v>
      </c>
      <c r="G124" s="304"/>
    </row>
    <row r="125" spans="1:7" s="516" customFormat="1">
      <c r="A125" s="537">
        <v>146</v>
      </c>
      <c r="B125" s="526"/>
      <c r="C125" s="526" t="s">
        <v>115</v>
      </c>
      <c r="D125" s="317">
        <v>90060.001000000004</v>
      </c>
      <c r="E125" s="304"/>
      <c r="F125" s="304">
        <v>85499.001000000004</v>
      </c>
      <c r="G125" s="304"/>
    </row>
    <row r="126" spans="1:7" s="538" customFormat="1" ht="29.45" customHeight="1">
      <c r="A126" s="524" t="s">
        <v>114</v>
      </c>
      <c r="B126" s="523"/>
      <c r="C126" s="523" t="s">
        <v>113</v>
      </c>
      <c r="D126" s="311">
        <v>0</v>
      </c>
      <c r="E126" s="339"/>
      <c r="F126" s="339">
        <v>0</v>
      </c>
      <c r="G126" s="339"/>
    </row>
    <row r="127" spans="1:7" s="516" customFormat="1">
      <c r="A127" s="537">
        <v>1484</v>
      </c>
      <c r="B127" s="526"/>
      <c r="C127" s="526" t="s">
        <v>112</v>
      </c>
      <c r="D127" s="317">
        <v>0</v>
      </c>
      <c r="E127" s="304"/>
      <c r="F127" s="304">
        <v>0</v>
      </c>
      <c r="G127" s="304"/>
    </row>
    <row r="128" spans="1:7" s="516" customFormat="1">
      <c r="A128" s="537">
        <v>1485</v>
      </c>
      <c r="B128" s="526"/>
      <c r="C128" s="526" t="s">
        <v>111</v>
      </c>
      <c r="D128" s="317">
        <v>0</v>
      </c>
      <c r="E128" s="304"/>
      <c r="F128" s="304">
        <v>0</v>
      </c>
      <c r="G128" s="304"/>
    </row>
    <row r="129" spans="1:7" s="516" customFormat="1">
      <c r="A129" s="537">
        <v>1486</v>
      </c>
      <c r="B129" s="526"/>
      <c r="C129" s="526" t="s">
        <v>110</v>
      </c>
      <c r="D129" s="317">
        <v>0</v>
      </c>
      <c r="E129" s="304"/>
      <c r="F129" s="304">
        <v>0</v>
      </c>
      <c r="G129" s="304"/>
    </row>
    <row r="130" spans="1:7" s="516" customFormat="1">
      <c r="A130" s="536">
        <v>1489</v>
      </c>
      <c r="B130" s="535"/>
      <c r="C130" s="535" t="s">
        <v>109</v>
      </c>
      <c r="D130" s="333">
        <v>0</v>
      </c>
      <c r="E130" s="332"/>
      <c r="F130" s="332">
        <v>0</v>
      </c>
      <c r="G130" s="332"/>
    </row>
    <row r="131" spans="1:7" s="512" customFormat="1">
      <c r="A131" s="515">
        <v>1</v>
      </c>
      <c r="B131" s="514"/>
      <c r="C131" s="515" t="s">
        <v>108</v>
      </c>
      <c r="D131" s="295">
        <f>D111+D121</f>
        <v>1751111.334</v>
      </c>
      <c r="E131" s="295">
        <f>E111+E121</f>
        <v>0</v>
      </c>
      <c r="F131" s="295">
        <f>F111+F121</f>
        <v>1675371.7495800001</v>
      </c>
      <c r="G131" s="295">
        <f>G111+G121</f>
        <v>0</v>
      </c>
    </row>
    <row r="132" spans="1:7" s="512" customFormat="1">
      <c r="A132" s="534"/>
      <c r="B132" s="534"/>
      <c r="C132" s="533"/>
      <c r="D132" s="260"/>
      <c r="E132" s="260"/>
      <c r="F132" s="260"/>
      <c r="G132" s="260"/>
    </row>
    <row r="133" spans="1:7" s="516" customFormat="1">
      <c r="A133" s="532">
        <v>20</v>
      </c>
      <c r="B133" s="531"/>
      <c r="C133" s="531" t="s">
        <v>107</v>
      </c>
      <c r="D133" s="329">
        <f>D134+D140</f>
        <v>617479.94400000013</v>
      </c>
      <c r="E133" s="530">
        <f>E134+E140</f>
        <v>0</v>
      </c>
      <c r="F133" s="329">
        <f>F134+F140</f>
        <v>664904.69736999995</v>
      </c>
      <c r="G133" s="530">
        <f>G134+G140</f>
        <v>0</v>
      </c>
    </row>
    <row r="134" spans="1:7" s="516" customFormat="1">
      <c r="A134" s="520" t="s">
        <v>106</v>
      </c>
      <c r="B134" s="519"/>
      <c r="C134" s="519" t="s">
        <v>105</v>
      </c>
      <c r="D134" s="327">
        <f>D135+D136+D138+D139</f>
        <v>596015.58500000008</v>
      </c>
      <c r="E134" s="326">
        <f>E135+E136+E138+E139</f>
        <v>0</v>
      </c>
      <c r="F134" s="327">
        <f>F135+F136+F138+F139</f>
        <v>642143.24081999995</v>
      </c>
      <c r="G134" s="326">
        <f>G135+G136+G138+G139</f>
        <v>0</v>
      </c>
    </row>
    <row r="135" spans="1:7" s="525" customFormat="1">
      <c r="A135" s="527">
        <v>200</v>
      </c>
      <c r="B135" s="526"/>
      <c r="C135" s="526" t="s">
        <v>104</v>
      </c>
      <c r="D135" s="317">
        <v>524340.07900000003</v>
      </c>
      <c r="E135" s="316"/>
      <c r="F135" s="316">
        <v>556021.64807999996</v>
      </c>
      <c r="G135" s="316"/>
    </row>
    <row r="136" spans="1:7" s="525" customFormat="1">
      <c r="A136" s="527">
        <v>201</v>
      </c>
      <c r="B136" s="526"/>
      <c r="C136" s="526" t="s">
        <v>103</v>
      </c>
      <c r="D136" s="317">
        <v>0</v>
      </c>
      <c r="E136" s="316"/>
      <c r="F136" s="316">
        <v>0</v>
      </c>
      <c r="G136" s="316"/>
    </row>
    <row r="137" spans="1:7" s="525" customFormat="1">
      <c r="A137" s="529" t="s">
        <v>102</v>
      </c>
      <c r="B137" s="528"/>
      <c r="C137" s="528" t="s">
        <v>101</v>
      </c>
      <c r="D137" s="322">
        <v>0</v>
      </c>
      <c r="E137" s="321"/>
      <c r="F137" s="321">
        <v>0</v>
      </c>
      <c r="G137" s="321"/>
    </row>
    <row r="138" spans="1:7" s="525" customFormat="1">
      <c r="A138" s="527">
        <v>204</v>
      </c>
      <c r="B138" s="526"/>
      <c r="C138" s="526" t="s">
        <v>100</v>
      </c>
      <c r="D138" s="317">
        <v>61126.938999999998</v>
      </c>
      <c r="E138" s="304"/>
      <c r="F138" s="304">
        <v>74700.820739999996</v>
      </c>
      <c r="G138" s="304"/>
    </row>
    <row r="139" spans="1:7" s="525" customFormat="1">
      <c r="A139" s="527">
        <v>205</v>
      </c>
      <c r="B139" s="526"/>
      <c r="C139" s="526" t="s">
        <v>99</v>
      </c>
      <c r="D139" s="317">
        <v>10548.566999999999</v>
      </c>
      <c r="E139" s="304"/>
      <c r="F139" s="304">
        <v>11420.772000000001</v>
      </c>
      <c r="G139" s="304"/>
    </row>
    <row r="140" spans="1:7" s="525" customFormat="1">
      <c r="A140" s="520" t="s">
        <v>98</v>
      </c>
      <c r="B140" s="519"/>
      <c r="C140" s="519" t="s">
        <v>97</v>
      </c>
      <c r="D140" s="327">
        <f>D141+D143+D144</f>
        <v>21464.359</v>
      </c>
      <c r="E140" s="326">
        <f>E141+E143+E144</f>
        <v>0</v>
      </c>
      <c r="F140" s="327">
        <f>F141+F143+F144</f>
        <v>22761.456549999999</v>
      </c>
      <c r="G140" s="326">
        <f>G141+G143+G144</f>
        <v>0</v>
      </c>
    </row>
    <row r="141" spans="1:7" s="525" customFormat="1">
      <c r="A141" s="527">
        <v>206</v>
      </c>
      <c r="B141" s="526"/>
      <c r="C141" s="526" t="s">
        <v>96</v>
      </c>
      <c r="D141" s="317">
        <v>21464.359</v>
      </c>
      <c r="E141" s="304"/>
      <c r="F141" s="304">
        <v>21483.456549999999</v>
      </c>
      <c r="G141" s="304"/>
    </row>
    <row r="142" spans="1:7" s="525" customFormat="1">
      <c r="A142" s="529" t="s">
        <v>95</v>
      </c>
      <c r="B142" s="528"/>
      <c r="C142" s="528" t="s">
        <v>94</v>
      </c>
      <c r="D142" s="322">
        <v>0</v>
      </c>
      <c r="E142" s="321"/>
      <c r="F142" s="321"/>
      <c r="G142" s="321"/>
    </row>
    <row r="143" spans="1:7" s="525" customFormat="1">
      <c r="A143" s="527">
        <v>208</v>
      </c>
      <c r="B143" s="526"/>
      <c r="C143" s="526" t="s">
        <v>93</v>
      </c>
      <c r="D143" s="317">
        <v>0</v>
      </c>
      <c r="E143" s="304"/>
      <c r="F143" s="304">
        <v>1278</v>
      </c>
      <c r="G143" s="304"/>
    </row>
    <row r="144" spans="1:7" s="521" customFormat="1" ht="25.5">
      <c r="A144" s="524">
        <v>209</v>
      </c>
      <c r="B144" s="523"/>
      <c r="C144" s="523" t="s">
        <v>92</v>
      </c>
      <c r="D144" s="311">
        <v>0</v>
      </c>
      <c r="E144" s="339"/>
      <c r="F144" s="339"/>
      <c r="G144" s="339"/>
    </row>
    <row r="145" spans="1:7" s="516" customFormat="1">
      <c r="A145" s="520">
        <v>29</v>
      </c>
      <c r="B145" s="519"/>
      <c r="C145" s="519" t="s">
        <v>61</v>
      </c>
      <c r="D145" s="305">
        <v>1133631.3910000001</v>
      </c>
      <c r="E145" s="304"/>
      <c r="F145" s="304">
        <v>1010467.05221</v>
      </c>
      <c r="G145" s="304"/>
    </row>
    <row r="146" spans="1:7" s="516" customFormat="1">
      <c r="A146" s="518" t="s">
        <v>91</v>
      </c>
      <c r="B146" s="517"/>
      <c r="C146" s="517" t="s">
        <v>90</v>
      </c>
      <c r="D146" s="300">
        <v>494552.59</v>
      </c>
      <c r="E146" s="299"/>
      <c r="F146" s="299">
        <v>355559.54680000001</v>
      </c>
      <c r="G146" s="299"/>
    </row>
    <row r="147" spans="1:7" s="512" customFormat="1">
      <c r="A147" s="515">
        <v>2</v>
      </c>
      <c r="B147" s="514"/>
      <c r="C147" s="515" t="s">
        <v>89</v>
      </c>
      <c r="D147" s="295">
        <f>D133+D145</f>
        <v>1751111.3350000002</v>
      </c>
      <c r="E147" s="295">
        <f>E133+E145</f>
        <v>0</v>
      </c>
      <c r="F147" s="295">
        <f>F133+F145</f>
        <v>1675371.7495800001</v>
      </c>
      <c r="G147" s="295">
        <f>G133+G145</f>
        <v>0</v>
      </c>
    </row>
    <row r="148" spans="1:7" ht="7.5" customHeight="1">
      <c r="D148" s="512"/>
      <c r="F148" s="512"/>
    </row>
    <row r="149" spans="1:7" ht="13.5" customHeight="1">
      <c r="A149" s="511" t="s">
        <v>88</v>
      </c>
      <c r="B149" s="509"/>
      <c r="C149" s="664" t="s">
        <v>87</v>
      </c>
      <c r="D149" s="509"/>
      <c r="E149" s="509"/>
      <c r="F149" s="509"/>
      <c r="G149" s="509"/>
    </row>
    <row r="150" spans="1:7">
      <c r="A150" s="498" t="s">
        <v>86</v>
      </c>
      <c r="B150" s="494"/>
      <c r="C150" s="494" t="s">
        <v>85</v>
      </c>
      <c r="D150" s="268">
        <f>D77+SUM(D8:D12)-D30-D31+D16-D33+D59+D63-D73+D64-D74-D54+D20-D35</f>
        <v>10671.723999999944</v>
      </c>
      <c r="E150" s="268">
        <f>E77+SUM(E8:E12)-E30-E31+E16-E33+E59+E63-E73+E64-E74-E54+E20-E35</f>
        <v>18463.713999999993</v>
      </c>
      <c r="F150" s="268">
        <f>F77+SUM(F8:F12)-F30-F31+F16-F33+F59+F63-F73+F64-F74-F54+F20-F35</f>
        <v>-55261.240019999852</v>
      </c>
      <c r="G150" s="268">
        <f>G77+SUM(G8:G12)-G30-G31+G16-G33+G59+G63-G73+G64-G74-G54+G20-G35</f>
        <v>-81373.567600000039</v>
      </c>
    </row>
    <row r="151" spans="1:7">
      <c r="A151" s="489" t="s">
        <v>84</v>
      </c>
      <c r="B151" s="488"/>
      <c r="C151" s="488" t="s">
        <v>83</v>
      </c>
      <c r="D151" s="269">
        <f>IF(D177=0,0,D150/D177)</f>
        <v>8.6779038713578789E-3</v>
      </c>
      <c r="E151" s="269">
        <f>IF(E177=0,0,E150/E177)</f>
        <v>1.449261678472823E-2</v>
      </c>
      <c r="F151" s="269">
        <f>IF(F177=0,0,F150/F177)</f>
        <v>-4.6727382725692428E-2</v>
      </c>
      <c r="G151" s="269">
        <f>IF(G177=0,0,G150/G177)</f>
        <v>-6.7676690740575765E-2</v>
      </c>
    </row>
    <row r="152" spans="1:7" s="504" customFormat="1" ht="25.5">
      <c r="A152" s="508" t="s">
        <v>81</v>
      </c>
      <c r="B152" s="507"/>
      <c r="C152" s="507" t="s">
        <v>82</v>
      </c>
      <c r="D152" s="505">
        <f>IF(D107=0,0,D150/D107)</f>
        <v>0.13852607533289982</v>
      </c>
      <c r="E152" s="505">
        <f>IF(E107=0,0,E150/E107)</f>
        <v>0.18683676928478976</v>
      </c>
      <c r="F152" s="505">
        <f>IF(F107=0,0,F150/F107)</f>
        <v>-0.59160977912797674</v>
      </c>
      <c r="G152" s="505">
        <f>IF(G107=0,0,G150/G107)</f>
        <v>-0.91160908080572345</v>
      </c>
    </row>
    <row r="153" spans="1:7" s="504" customFormat="1" ht="25.5">
      <c r="A153" s="497" t="s">
        <v>81</v>
      </c>
      <c r="B153" s="500"/>
      <c r="C153" s="500" t="s">
        <v>80</v>
      </c>
      <c r="D153" s="274">
        <f>IF(0=D108,0,D150/D108)</f>
        <v>0.14548516911977172</v>
      </c>
      <c r="E153" s="274">
        <f>IF(0=E108,0,E150/E108)</f>
        <v>0.18813130268476405</v>
      </c>
      <c r="F153" s="274">
        <f>IF(0=F108,0,F150/F108)</f>
        <v>-0.58938233421255071</v>
      </c>
      <c r="G153" s="274">
        <f>IF(0=G108,0,G150/G108)</f>
        <v>-0.91759178856193135</v>
      </c>
    </row>
    <row r="154" spans="1:7" ht="25.5">
      <c r="A154" s="503" t="s">
        <v>79</v>
      </c>
      <c r="B154" s="502"/>
      <c r="C154" s="502" t="s">
        <v>78</v>
      </c>
      <c r="D154" s="279">
        <f>D150-D107</f>
        <v>-66365.931000000041</v>
      </c>
      <c r="E154" s="279">
        <f>E150-E107</f>
        <v>-80358.986000000004</v>
      </c>
      <c r="F154" s="279">
        <f>F150-F107</f>
        <v>-148669.49993999986</v>
      </c>
      <c r="G154" s="279">
        <f>G150-G107</f>
        <v>-170637.23260000005</v>
      </c>
    </row>
    <row r="155" spans="1:7" ht="25.5">
      <c r="A155" s="497" t="s">
        <v>77</v>
      </c>
      <c r="B155" s="500"/>
      <c r="C155" s="500" t="s">
        <v>76</v>
      </c>
      <c r="D155" s="282">
        <f>D150-D108</f>
        <v>-62680.935000000041</v>
      </c>
      <c r="E155" s="282">
        <f>E150-E108</f>
        <v>-79678.986000000004</v>
      </c>
      <c r="F155" s="282">
        <f>F150-F108</f>
        <v>-149022.51654999988</v>
      </c>
      <c r="G155" s="282">
        <f>G150-G108</f>
        <v>-170055.23260000005</v>
      </c>
    </row>
    <row r="156" spans="1:7">
      <c r="A156" s="498" t="s">
        <v>75</v>
      </c>
      <c r="B156" s="494"/>
      <c r="C156" s="494" t="s">
        <v>74</v>
      </c>
      <c r="D156" s="277">
        <f>D135+D136-D137+D141-D142</f>
        <v>545804.43800000008</v>
      </c>
      <c r="E156" s="277">
        <f>E135+E136-E137+E141-E142</f>
        <v>0</v>
      </c>
      <c r="F156" s="277">
        <f>F135+F136-F137+F141-F142</f>
        <v>577505.10462999996</v>
      </c>
      <c r="G156" s="277">
        <f>G135+G136-G137+G141-G142</f>
        <v>0</v>
      </c>
    </row>
    <row r="157" spans="1:7">
      <c r="A157" s="492" t="s">
        <v>73</v>
      </c>
      <c r="B157" s="491"/>
      <c r="C157" s="491" t="s">
        <v>72</v>
      </c>
      <c r="D157" s="273">
        <f>IF(D177=0,0,D156/D177)</f>
        <v>0.44383067305006546</v>
      </c>
      <c r="E157" s="273">
        <f>IF(E177=0,0,E156/E177)</f>
        <v>0</v>
      </c>
      <c r="F157" s="273">
        <f>IF(F177=0,0,F156/F177)</f>
        <v>0.48832241260457931</v>
      </c>
      <c r="G157" s="273">
        <f>IF(G177=0,0,G156/G177)</f>
        <v>0</v>
      </c>
    </row>
    <row r="158" spans="1:7">
      <c r="A158" s="498" t="s">
        <v>71</v>
      </c>
      <c r="B158" s="494"/>
      <c r="C158" s="494" t="s">
        <v>70</v>
      </c>
      <c r="D158" s="277">
        <f>D133-D142-D111</f>
        <v>-697139.902</v>
      </c>
      <c r="E158" s="277">
        <f>E133-E142-E111</f>
        <v>0</v>
      </c>
      <c r="F158" s="277">
        <f>F133-F142-F111</f>
        <v>-549838.58052000008</v>
      </c>
      <c r="G158" s="277">
        <f>G133-G142-G111</f>
        <v>0</v>
      </c>
    </row>
    <row r="159" spans="1:7">
      <c r="A159" s="489" t="s">
        <v>69</v>
      </c>
      <c r="B159" s="488"/>
      <c r="C159" s="488" t="s">
        <v>68</v>
      </c>
      <c r="D159" s="265">
        <f>D121-D123-D124-D142-D145</f>
        <v>-812531.39000000013</v>
      </c>
      <c r="E159" s="265">
        <f>E121-E123-E124-E142-E145</f>
        <v>0</v>
      </c>
      <c r="F159" s="265">
        <f>F121-F123-F124-F142-F145</f>
        <v>-664873.05121000006</v>
      </c>
      <c r="G159" s="265">
        <f>G121-G123-G124-G142-G145</f>
        <v>0</v>
      </c>
    </row>
    <row r="160" spans="1:7">
      <c r="A160" s="489" t="s">
        <v>66</v>
      </c>
      <c r="B160" s="488"/>
      <c r="C160" s="488" t="s">
        <v>67</v>
      </c>
      <c r="D160" s="276">
        <f>IF(D175=0,"-",1000*D158/D175)</f>
        <v>-5778.1048138447768</v>
      </c>
      <c r="E160" s="276">
        <f>IF(E175=0,"-",1000*E158/E175)</f>
        <v>0</v>
      </c>
      <c r="F160" s="276">
        <f>IF(F175=0,"-",1000*F158/F175)</f>
        <v>-4654.9939934641634</v>
      </c>
      <c r="G160" s="276">
        <f>IF(G175=0,"-",1000*G158/G175)</f>
        <v>0</v>
      </c>
    </row>
    <row r="161" spans="1:7">
      <c r="A161" s="489" t="s">
        <v>66</v>
      </c>
      <c r="B161" s="488"/>
      <c r="C161" s="488" t="s">
        <v>65</v>
      </c>
      <c r="D161" s="265">
        <f>IF(D175=0,0,1000*(D159/D175))</f>
        <v>-6734.5041109969179</v>
      </c>
      <c r="E161" s="265">
        <f>IF(E175=0,0,1000*(E159/E175))</f>
        <v>0</v>
      </c>
      <c r="F161" s="265">
        <f>IF(F175=0,0,1000*(F159/F175))</f>
        <v>-5628.8884946409526</v>
      </c>
      <c r="G161" s="265">
        <f>IF(G175=0,0,1000*(G159/G175))</f>
        <v>0</v>
      </c>
    </row>
    <row r="162" spans="1:7">
      <c r="A162" s="492" t="s">
        <v>64</v>
      </c>
      <c r="B162" s="491"/>
      <c r="C162" s="491" t="s">
        <v>63</v>
      </c>
      <c r="D162" s="273">
        <f>IF((D22+D23+D65+D66)=0,0,D158/(D22+D23+D65+D66))</f>
        <v>-1.0776355591688143</v>
      </c>
      <c r="E162" s="273">
        <f>IF((E22+E23+E65+E66)=0,0,E158/(E22+E23+E65+E66))</f>
        <v>0</v>
      </c>
      <c r="F162" s="273">
        <f>IF((F22+F23+F65+F66)=0,0,F158/(F22+F23+F65+F66))</f>
        <v>-0.86120518498678233</v>
      </c>
      <c r="G162" s="273">
        <f>IF((G22+G23+G65+G66)=0,0,G158/(G22+G23+G65+G66))</f>
        <v>0</v>
      </c>
    </row>
    <row r="163" spans="1:7">
      <c r="A163" s="489" t="s">
        <v>62</v>
      </c>
      <c r="B163" s="488"/>
      <c r="C163" s="488" t="s">
        <v>61</v>
      </c>
      <c r="D163" s="268">
        <f>D145</f>
        <v>1133631.3910000001</v>
      </c>
      <c r="E163" s="268">
        <f>E145</f>
        <v>0</v>
      </c>
      <c r="F163" s="268">
        <f>F145</f>
        <v>1010467.05221</v>
      </c>
      <c r="G163" s="268">
        <f>G145</f>
        <v>0</v>
      </c>
    </row>
    <row r="164" spans="1:7" ht="25.5">
      <c r="A164" s="497" t="s">
        <v>60</v>
      </c>
      <c r="B164" s="496"/>
      <c r="C164" s="496" t="s">
        <v>59</v>
      </c>
      <c r="D164" s="274">
        <f>IF(D178=0,0,D146/D178)</f>
        <v>0.3810022633341914</v>
      </c>
      <c r="E164" s="274">
        <f>IF(E178=0,0,E146/E178)</f>
        <v>0</v>
      </c>
      <c r="F164" s="274">
        <f>IF(F178=0,0,F146/F178)</f>
        <v>0.26906651867547138</v>
      </c>
      <c r="G164" s="274">
        <f>IF(G178=0,0,G146/G178)</f>
        <v>0</v>
      </c>
    </row>
    <row r="165" spans="1:7">
      <c r="A165" s="486" t="s">
        <v>58</v>
      </c>
      <c r="B165" s="485"/>
      <c r="C165" s="485" t="s">
        <v>57</v>
      </c>
      <c r="D165" s="262">
        <f>IF(D177=0,0,D180/D177)</f>
        <v>5.4510913211476497E-2</v>
      </c>
      <c r="E165" s="262">
        <f>IF(E177=0,0,E180/E177)</f>
        <v>6.1803443752303053E-2</v>
      </c>
      <c r="F165" s="262">
        <f>IF(F177=0,0,F180/F177)</f>
        <v>5.4253007833096278E-2</v>
      </c>
      <c r="G165" s="262">
        <f>IF(G177=0,0,G180/G177)</f>
        <v>5.9491415724135487E-2</v>
      </c>
    </row>
    <row r="166" spans="1:7">
      <c r="A166" s="489" t="s">
        <v>56</v>
      </c>
      <c r="B166" s="488"/>
      <c r="C166" s="488" t="s">
        <v>55</v>
      </c>
      <c r="D166" s="268">
        <f>D55</f>
        <v>34552.386000000006</v>
      </c>
      <c r="E166" s="268">
        <f>E55</f>
        <v>30830.814999999995</v>
      </c>
      <c r="F166" s="268">
        <f>F55</f>
        <v>32552.453880000001</v>
      </c>
      <c r="G166" s="268">
        <f>G55</f>
        <v>29956.5</v>
      </c>
    </row>
    <row r="167" spans="1:7">
      <c r="A167" s="492" t="s">
        <v>54</v>
      </c>
      <c r="B167" s="491"/>
      <c r="C167" s="491" t="s">
        <v>53</v>
      </c>
      <c r="D167" s="273">
        <f>IF(0=D111,0,(D44+D45+D46+D47+D48)/D111)</f>
        <v>7.0977347773890209E-3</v>
      </c>
      <c r="E167" s="273">
        <f>IF(0=E111,0,(E44+E45+E46+E47+E48)/E111)</f>
        <v>0</v>
      </c>
      <c r="F167" s="273">
        <f>IF(0=F111,0,(F44+F45+F46+F47+F48)/F111)</f>
        <v>6.3433823674945841E-3</v>
      </c>
      <c r="G167" s="273">
        <f>IF(0=G111,0,(G44+G45+G46+G47+G48)/G111)</f>
        <v>0</v>
      </c>
    </row>
    <row r="168" spans="1:7">
      <c r="A168" s="489" t="s">
        <v>52</v>
      </c>
      <c r="B168" s="494"/>
      <c r="C168" s="494" t="s">
        <v>51</v>
      </c>
      <c r="D168" s="268">
        <f>D38-D44</f>
        <v>-7421.3019999999997</v>
      </c>
      <c r="E168" s="268">
        <f>E38-E44</f>
        <v>-4547.8999999999996</v>
      </c>
      <c r="F168" s="268">
        <f>F38-F44</f>
        <v>-5110.0007900000001</v>
      </c>
      <c r="G168" s="268">
        <f>G38-G44</f>
        <v>-3327.3</v>
      </c>
    </row>
    <row r="169" spans="1:7">
      <c r="A169" s="492" t="s">
        <v>50</v>
      </c>
      <c r="B169" s="491"/>
      <c r="C169" s="491" t="s">
        <v>49</v>
      </c>
      <c r="D169" s="269">
        <f>IF(D177=0,0,D168/D177)</f>
        <v>-6.0347648942491675E-3</v>
      </c>
      <c r="E169" s="269">
        <f>IF(E177=0,0,E168/E177)</f>
        <v>-3.5697569771317699E-3</v>
      </c>
      <c r="F169" s="269">
        <f>IF(F177=0,0,F168/F177)</f>
        <v>-4.320875944088547E-3</v>
      </c>
      <c r="G169" s="269">
        <f>IF(G177=0,0,G168/G177)</f>
        <v>-2.767245676237472E-3</v>
      </c>
    </row>
    <row r="170" spans="1:7">
      <c r="A170" s="489" t="s">
        <v>48</v>
      </c>
      <c r="B170" s="488"/>
      <c r="C170" s="488" t="s">
        <v>47</v>
      </c>
      <c r="D170" s="268">
        <f>SUM(D82:D87)+SUM(D89:D94)</f>
        <v>85873.920999999988</v>
      </c>
      <c r="E170" s="268">
        <f>SUM(E82:E87)+SUM(E89:E94)</f>
        <v>117250.2</v>
      </c>
      <c r="F170" s="268">
        <f>SUM(F82:F87)+SUM(F89:F94)</f>
        <v>112064.75634000001</v>
      </c>
      <c r="G170" s="268">
        <f>SUM(G82:G87)+SUM(G89:G94)</f>
        <v>98969.3</v>
      </c>
    </row>
    <row r="171" spans="1:7">
      <c r="A171" s="489" t="s">
        <v>46</v>
      </c>
      <c r="B171" s="488"/>
      <c r="C171" s="488" t="s">
        <v>45</v>
      </c>
      <c r="D171" s="265">
        <f>SUM(D96:D102)+SUM(D104:D105)</f>
        <v>8836.2659999999996</v>
      </c>
      <c r="E171" s="265">
        <f>SUM(E96:E102)+SUM(E104:E105)</f>
        <v>18427.5</v>
      </c>
      <c r="F171" s="265">
        <f>SUM(F96:F102)+SUM(F104:F105)</f>
        <v>18656.496419999999</v>
      </c>
      <c r="G171" s="265">
        <f>SUM(G96:G102)+SUM(G104:G105)</f>
        <v>9705.6350000000002</v>
      </c>
    </row>
    <row r="172" spans="1:7">
      <c r="A172" s="486" t="s">
        <v>44</v>
      </c>
      <c r="B172" s="485"/>
      <c r="C172" s="485" t="s">
        <v>43</v>
      </c>
      <c r="D172" s="262">
        <f>IF(D184=0,0,D170/D184)</f>
        <v>6.5762123501646508E-2</v>
      </c>
      <c r="E172" s="262">
        <f>IF(E184=0,0,E170/E184)</f>
        <v>8.5409852676297429E-2</v>
      </c>
      <c r="F172" s="262">
        <f>IF(F184=0,0,F170/F184)</f>
        <v>8.298537397497302E-2</v>
      </c>
      <c r="G172" s="262">
        <f>IF(G184=0,0,G170/G184)</f>
        <v>7.1575300561747005E-2</v>
      </c>
    </row>
    <row r="173" spans="1:7">
      <c r="A173" s="678"/>
    </row>
    <row r="174" spans="1:7">
      <c r="A174" s="479" t="s">
        <v>42</v>
      </c>
      <c r="B174" s="477"/>
      <c r="C174" s="649"/>
      <c r="D174" s="260"/>
      <c r="E174" s="260"/>
      <c r="F174" s="260"/>
      <c r="G174" s="260"/>
    </row>
    <row r="175" spans="1:7" s="480" customFormat="1">
      <c r="A175" s="478" t="s">
        <v>41</v>
      </c>
      <c r="B175" s="477"/>
      <c r="C175" s="477" t="s">
        <v>259</v>
      </c>
      <c r="D175" s="257">
        <v>120652</v>
      </c>
      <c r="E175" s="257">
        <v>120652</v>
      </c>
      <c r="F175" s="257">
        <v>118118</v>
      </c>
      <c r="G175" s="257">
        <v>118118</v>
      </c>
    </row>
    <row r="176" spans="1:7">
      <c r="A176" s="479" t="s">
        <v>39</v>
      </c>
      <c r="B176" s="477"/>
      <c r="C176" s="477"/>
      <c r="D176" s="477"/>
      <c r="E176" s="477"/>
      <c r="F176" s="477"/>
      <c r="G176" s="477"/>
    </row>
    <row r="177" spans="1:7">
      <c r="A177" s="478" t="s">
        <v>38</v>
      </c>
      <c r="B177" s="477"/>
      <c r="C177" s="477" t="s">
        <v>37</v>
      </c>
      <c r="D177" s="475">
        <f>SUM(D22:D32)+SUM(D44:D53)+SUM(D65:D72)+D75</f>
        <v>1229758.264</v>
      </c>
      <c r="E177" s="475">
        <f>SUM(E22:E32)+SUM(E44:E53)+SUM(E65:E72)+E75</f>
        <v>1274008.2949999999</v>
      </c>
      <c r="F177" s="475">
        <f>SUM(F22:F32)+SUM(F44:F53)+SUM(F65:F72)+F75</f>
        <v>1182630.75731</v>
      </c>
      <c r="G177" s="475">
        <f>SUM(G22:G32)+SUM(G44:G53)+SUM(G65:G72)+G75</f>
        <v>1202386.9180000001</v>
      </c>
    </row>
    <row r="178" spans="1:7">
      <c r="A178" s="478" t="s">
        <v>36</v>
      </c>
      <c r="B178" s="477"/>
      <c r="C178" s="477" t="s">
        <v>35</v>
      </c>
      <c r="D178" s="475">
        <f>D78-D17-D20-D59-D63-D64</f>
        <v>1298030.5830000001</v>
      </c>
      <c r="E178" s="475">
        <f>E78-E17-E20-E59-E63-E64</f>
        <v>1344713.321</v>
      </c>
      <c r="F178" s="475">
        <f>F78-F17-F20-F59-F63-F64</f>
        <v>1321455.9304899999</v>
      </c>
      <c r="G178" s="475">
        <f>G78-G17-G20-G59-G63-G64</f>
        <v>1370241.9436000001</v>
      </c>
    </row>
    <row r="179" spans="1:7">
      <c r="A179" s="478"/>
      <c r="B179" s="477"/>
      <c r="C179" s="477" t="s">
        <v>34</v>
      </c>
      <c r="D179" s="475">
        <f>D178+D170</f>
        <v>1383904.5040000002</v>
      </c>
      <c r="E179" s="475">
        <f>E178+E170</f>
        <v>1461963.5209999999</v>
      </c>
      <c r="F179" s="475">
        <f>F178+F170</f>
        <v>1433520.68683</v>
      </c>
      <c r="G179" s="475">
        <f>G178+G170</f>
        <v>1469211.2436000002</v>
      </c>
    </row>
    <row r="180" spans="1:7">
      <c r="A180" s="478" t="s">
        <v>33</v>
      </c>
      <c r="B180" s="477"/>
      <c r="C180" s="477" t="s">
        <v>32</v>
      </c>
      <c r="D180" s="475">
        <f>D38-D44+D8+D9+D10+D16-D33</f>
        <v>67035.245999999999</v>
      </c>
      <c r="E180" s="475">
        <f>E38-E44+E8+E9+E10+E16-E33</f>
        <v>78738.100000000006</v>
      </c>
      <c r="F180" s="475">
        <f>F38-F44+F8+F9+F10+F16-F33</f>
        <v>64161.275740000012</v>
      </c>
      <c r="G180" s="475">
        <f>G38-G44+G8+G9+G10+G16-G33</f>
        <v>71531.700000000012</v>
      </c>
    </row>
    <row r="181" spans="1:7" ht="27.6" customHeight="1">
      <c r="A181" s="474" t="s">
        <v>31</v>
      </c>
      <c r="B181" s="472"/>
      <c r="C181" s="472" t="s">
        <v>30</v>
      </c>
      <c r="D181" s="249">
        <f>D22+D23+D24+D25+D26+D29+SUM(D44:D47)+SUM(D49:D53)-D54+D32-D33+SUM(D65:D70)+D72</f>
        <v>1223785.314</v>
      </c>
      <c r="E181" s="249">
        <f>E22+E23+E24+E25+E26+E29+SUM(E44:E47)+SUM(E49:E53)-E54+E32-E33+SUM(E65:E70)+E72</f>
        <v>1267242.2949999999</v>
      </c>
      <c r="F181" s="249">
        <f>F22+F23+F24+F25+F26+F29+SUM(F44:F47)+SUM(F49:F53)-F54+F32-F33+SUM(F65:F70)+F72</f>
        <v>1176584.1823100001</v>
      </c>
      <c r="G181" s="249">
        <f>G22+G23+G24+G25+G26+G29+SUM(G44:G47)+SUM(G49:G53)-G54+G32-G33+SUM(G65:G70)+G72</f>
        <v>1195883.9180000001</v>
      </c>
    </row>
    <row r="182" spans="1:7">
      <c r="A182" s="473" t="s">
        <v>29</v>
      </c>
      <c r="B182" s="472"/>
      <c r="C182" s="472" t="s">
        <v>28</v>
      </c>
      <c r="D182" s="249">
        <f>D181+D171</f>
        <v>1232621.58</v>
      </c>
      <c r="E182" s="249">
        <f>E181+E171</f>
        <v>1285669.7949999999</v>
      </c>
      <c r="F182" s="249">
        <f>F181+F171</f>
        <v>1195240.67873</v>
      </c>
      <c r="G182" s="249">
        <f>G181+G171</f>
        <v>1205589.5530000001</v>
      </c>
    </row>
    <row r="183" spans="1:7">
      <c r="A183" s="473" t="s">
        <v>27</v>
      </c>
      <c r="B183" s="472"/>
      <c r="C183" s="472" t="s">
        <v>26</v>
      </c>
      <c r="D183" s="249">
        <f>D4+D5-D7+D38+D39+D40+D41+D43+D13-D16+D57+D58+D60+D62</f>
        <v>1219952.54</v>
      </c>
      <c r="E183" s="249">
        <f>E4+E5-E7+E38+E39+E40+E41+E43+E13-E16+E57+E58+E60+E62</f>
        <v>1255544.581</v>
      </c>
      <c r="F183" s="249">
        <f>F4+F5-F7+F38+F39+F40+F41+F43+F13-F16+F57+F58+F60+F62</f>
        <v>1238350.9973300002</v>
      </c>
      <c r="G183" s="249">
        <f>G4+G5-G7+G38+G39+G40+G41+G43+G13-G16+G57+G58+G60+G62</f>
        <v>1283760.4856</v>
      </c>
    </row>
    <row r="184" spans="1:7">
      <c r="A184" s="473" t="s">
        <v>25</v>
      </c>
      <c r="B184" s="472"/>
      <c r="C184" s="472" t="s">
        <v>24</v>
      </c>
      <c r="D184" s="249">
        <f>D183+D170</f>
        <v>1305826.4610000001</v>
      </c>
      <c r="E184" s="249">
        <f>E183+E170</f>
        <v>1372794.781</v>
      </c>
      <c r="F184" s="249">
        <f>F183+F170</f>
        <v>1350415.7536700002</v>
      </c>
      <c r="G184" s="249">
        <f>G183+G170</f>
        <v>1382729.7856000001</v>
      </c>
    </row>
    <row r="185" spans="1:7">
      <c r="A185" s="473"/>
      <c r="B185" s="472"/>
      <c r="C185" s="472" t="s">
        <v>23</v>
      </c>
      <c r="D185" s="249">
        <f t="shared" ref="D185:G186" si="0">D181-D183</f>
        <v>3832.7739999999758</v>
      </c>
      <c r="E185" s="249">
        <f t="shared" si="0"/>
        <v>11697.71399999992</v>
      </c>
      <c r="F185" s="249">
        <f t="shared" si="0"/>
        <v>-61766.815020000096</v>
      </c>
      <c r="G185" s="249">
        <f t="shared" si="0"/>
        <v>-87876.567599999951</v>
      </c>
    </row>
    <row r="186" spans="1:7">
      <c r="A186" s="473"/>
      <c r="B186" s="472"/>
      <c r="C186" s="472" t="s">
        <v>22</v>
      </c>
      <c r="D186" s="249">
        <f t="shared" si="0"/>
        <v>-73204.881000000052</v>
      </c>
      <c r="E186" s="249">
        <f t="shared" si="0"/>
        <v>-87124.986000000034</v>
      </c>
      <c r="F186" s="249">
        <f t="shared" si="0"/>
        <v>-155175.0749400002</v>
      </c>
      <c r="G186" s="249">
        <f t="shared" si="0"/>
        <v>-177140.23259999999</v>
      </c>
    </row>
  </sheetData>
  <sheetProtection selectLockedCells="1" sort="0" autoFilter="0" pivotTables="0"/>
  <autoFilter ref="A1:G1"/>
  <mergeCells count="2">
    <mergeCell ref="A3:C3"/>
    <mergeCell ref="A81:C81"/>
  </mergeCells>
  <pageMargins left="0.23622047244094491" right="0.23622047244094491" top="0.74803149606299213" bottom="0.74803149606299213" header="0.31496062992125984" footer="0.31496062992125984"/>
  <pageSetup paperSize="9" orientation="landscape" r:id="rId1"/>
  <headerFooter alignWithMargins="0">
    <oddHeader>&amp;LFachgruppe für kantonale Finanzfragen (FkF)
Groupe d'études pour les finances cantonales
&amp;CKanton VD&amp;RZürich, 11.05.2015</oddHeader>
    <oddFooter>&amp;L&amp;F / &amp;A</oddFooter>
  </headerFooter>
  <rowBreaks count="2" manualBreakCount="2">
    <brk id="79" max="16383" man="1"/>
    <brk id="147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40</vt:i4>
      </vt:variant>
      <vt:variant>
        <vt:lpstr>Benannte Bereiche</vt:lpstr>
      </vt:variant>
      <vt:variant>
        <vt:i4>52</vt:i4>
      </vt:variant>
    </vt:vector>
  </HeadingPairs>
  <TitlesOfParts>
    <vt:vector size="92" baseType="lpstr">
      <vt:lpstr>ZH HRM2</vt:lpstr>
      <vt:lpstr>BE HRM1</vt:lpstr>
      <vt:lpstr>LU HRM2</vt:lpstr>
      <vt:lpstr>UR HRM2</vt:lpstr>
      <vt:lpstr>SZ HRM1</vt:lpstr>
      <vt:lpstr>OW HRM2</vt:lpstr>
      <vt:lpstr>NW HRM2</vt:lpstr>
      <vt:lpstr>GL HRM2</vt:lpstr>
      <vt:lpstr>ZG HRM2</vt:lpstr>
      <vt:lpstr>FR HRM2</vt:lpstr>
      <vt:lpstr>SO HRM2</vt:lpstr>
      <vt:lpstr>BS HRM2</vt:lpstr>
      <vt:lpstr>BL HRM2</vt:lpstr>
      <vt:lpstr>SH HRM1</vt:lpstr>
      <vt:lpstr>AR HRM2</vt:lpstr>
      <vt:lpstr>AI HRM1</vt:lpstr>
      <vt:lpstr>AI HRM2</vt:lpstr>
      <vt:lpstr>Sg HRM1</vt:lpstr>
      <vt:lpstr>SG HRM2</vt:lpstr>
      <vt:lpstr>GR HRM2</vt:lpstr>
      <vt:lpstr>AG HRM1</vt:lpstr>
      <vt:lpstr>AG HRM2</vt:lpstr>
      <vt:lpstr>TG HRM2</vt:lpstr>
      <vt:lpstr>TI HRM1</vt:lpstr>
      <vt:lpstr>TI HRM2</vt:lpstr>
      <vt:lpstr>VD HRM1</vt:lpstr>
      <vt:lpstr>VD HRM2</vt:lpstr>
      <vt:lpstr>VS HRM1</vt:lpstr>
      <vt:lpstr>NE HRM1</vt:lpstr>
      <vt:lpstr>GE HRM2</vt:lpstr>
      <vt:lpstr>JU HRM2</vt:lpstr>
      <vt:lpstr>Ergebnisse Rechnung 2013</vt:lpstr>
      <vt:lpstr>Ergebnisse Budgets 2014</vt:lpstr>
      <vt:lpstr>Ergebnisse Rechnung 2014</vt:lpstr>
      <vt:lpstr>Budget 2015</vt:lpstr>
      <vt:lpstr>Übersicht Saldo L. R. </vt:lpstr>
      <vt:lpstr>Finanzierungsfehlbetrag</vt:lpstr>
      <vt:lpstr>Selbstfinanzierungsgrad</vt:lpstr>
      <vt:lpstr>CHF</vt:lpstr>
      <vt:lpstr>CHD</vt:lpstr>
      <vt:lpstr>'Ergebnisse Budgets 2014'!Abschluss_d</vt:lpstr>
      <vt:lpstr>'Ergebnisse Rechnung 2014'!Abschluss_d</vt:lpstr>
      <vt:lpstr>Finanzierungsfehlbetrag!Abschluss_d</vt:lpstr>
      <vt:lpstr>Selbstfinanzierungsgrad!Abschluss_d</vt:lpstr>
      <vt:lpstr>'Übersicht Saldo L. R. '!Abschluss_d</vt:lpstr>
      <vt:lpstr>Abschluss_d</vt:lpstr>
      <vt:lpstr>Finanzierungsfehlbetrag!Abschluss_f</vt:lpstr>
      <vt:lpstr>Selbstfinanzierungsgrad!Abschluss_f</vt:lpstr>
      <vt:lpstr>'Übersicht Saldo L. R. '!Abschluss_f</vt:lpstr>
      <vt:lpstr>'Budget 2015'!Druckbereich</vt:lpstr>
      <vt:lpstr>CHD!Druckbereich</vt:lpstr>
      <vt:lpstr>CHF!Druckbereich</vt:lpstr>
      <vt:lpstr>'Ergebnisse Budgets 2014'!Druckbereich</vt:lpstr>
      <vt:lpstr>'Ergebnisse Rechnung 2013'!Druckbereich</vt:lpstr>
      <vt:lpstr>'Ergebnisse Rechnung 2014'!Druckbereich</vt:lpstr>
      <vt:lpstr>Finanzierungsfehlbetrag!Druckbereich</vt:lpstr>
      <vt:lpstr>Selbstfinanzierungsgrad!Druckbereich</vt:lpstr>
      <vt:lpstr>'Übersicht Saldo L. R. '!Druckbereich</vt:lpstr>
      <vt:lpstr>'ZH HRM2'!Druckbereich</vt:lpstr>
      <vt:lpstr>'AG HRM2'!Drucktitel</vt:lpstr>
      <vt:lpstr>'AI HRM2'!Drucktitel</vt:lpstr>
      <vt:lpstr>'AR HRM2'!Drucktitel</vt:lpstr>
      <vt:lpstr>'BL HRM2'!Drucktitel</vt:lpstr>
      <vt:lpstr>'BS HRM2'!Drucktitel</vt:lpstr>
      <vt:lpstr>'FR HRM2'!Drucktitel</vt:lpstr>
      <vt:lpstr>'GE HRM2'!Drucktitel</vt:lpstr>
      <vt:lpstr>'GL HRM2'!Drucktitel</vt:lpstr>
      <vt:lpstr>'GR HRM2'!Drucktitel</vt:lpstr>
      <vt:lpstr>'JU HRM2'!Drucktitel</vt:lpstr>
      <vt:lpstr>'LU HRM2'!Drucktitel</vt:lpstr>
      <vt:lpstr>'NW HRM2'!Drucktitel</vt:lpstr>
      <vt:lpstr>'OW HRM2'!Drucktitel</vt:lpstr>
      <vt:lpstr>'SG HRM2'!Drucktitel</vt:lpstr>
      <vt:lpstr>'SO HRM2'!Drucktitel</vt:lpstr>
      <vt:lpstr>'TG HRM2'!Drucktitel</vt:lpstr>
      <vt:lpstr>'TI HRM2'!Drucktitel</vt:lpstr>
      <vt:lpstr>'UR HRM2'!Drucktitel</vt:lpstr>
      <vt:lpstr>'VD HRM2'!Drucktitel</vt:lpstr>
      <vt:lpstr>'ZG HRM2'!Drucktitel</vt:lpstr>
      <vt:lpstr>'ZH HRM2'!Drucktitel</vt:lpstr>
      <vt:lpstr>find</vt:lpstr>
      <vt:lpstr>LRd</vt:lpstr>
      <vt:lpstr>od</vt:lpstr>
      <vt:lpstr>qd</vt:lpstr>
      <vt:lpstr>sd</vt:lpstr>
      <vt:lpstr>'Ergebnisse Budgets 2014'!SF_GradR</vt:lpstr>
      <vt:lpstr>'Ergebnisse Rechnung 2013'!SF_GradR</vt:lpstr>
      <vt:lpstr>'Ergebnisse Rechnung 2014'!SF_GradR</vt:lpstr>
      <vt:lpstr>Finanzierungsfehlbetrag!SF_GradR</vt:lpstr>
      <vt:lpstr>Selbstfinanzierungsgrad!SF_GradR</vt:lpstr>
      <vt:lpstr>'Übersicht Saldo L. R. '!SF_GradR</vt:lpstr>
      <vt:lpstr>SFd</vt:lpstr>
    </vt:vector>
  </TitlesOfParts>
  <Company>Kanton Zürich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Finanzverwaltung</dc:creator>
  <cp:lastModifiedBy>Fischer Rudolf</cp:lastModifiedBy>
  <cp:lastPrinted>2015-05-12T12:09:56Z</cp:lastPrinted>
  <dcterms:created xsi:type="dcterms:W3CDTF">1998-11-13T16:50:35Z</dcterms:created>
  <dcterms:modified xsi:type="dcterms:W3CDTF">2015-05-13T15:29:01Z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1348697941</vt:i4>
  </property>
  <property fmtid="{D5CDD505-2E9C-101B-9397-08002B2CF9AE}" pid="3" name="_EmailSubject">
    <vt:lpwstr>Dat</vt:lpwstr>
  </property>
  <property fmtid="{D5CDD505-2E9C-101B-9397-08002B2CF9AE}" pid="4" name="_AuthorEmail">
    <vt:lpwstr>m.meyer-kocherhans@bluewin.ch</vt:lpwstr>
  </property>
  <property fmtid="{D5CDD505-2E9C-101B-9397-08002B2CF9AE}" pid="5" name="_AuthorEmailDisplayName">
    <vt:lpwstr>Margrith Meyer</vt:lpwstr>
  </property>
  <property fmtid="{D5CDD505-2E9C-101B-9397-08002B2CF9AE}" pid="6" name="_PreviousAdHocReviewCycleID">
    <vt:i4>-2060120505</vt:i4>
  </property>
  <property fmtid="{D5CDD505-2E9C-101B-9397-08002B2CF9AE}" pid="7" name="_ReviewingToolsShownOnce">
    <vt:lpwstr/>
  </property>
</Properties>
</file>