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0" yWindow="150" windowWidth="7545" windowHeight="4725" tabRatio="868" activeTab="0"/>
  </bookViews>
  <sheets>
    <sheet name="ZH HRM2" sheetId="1" r:id="rId1"/>
    <sheet name="BE HRM1" sheetId="2" r:id="rId2"/>
    <sheet name="LU HRM1" sheetId="3" r:id="rId3"/>
    <sheet name="LU HRM2" sheetId="4" r:id="rId4"/>
    <sheet name="UR HRM1" sheetId="5" r:id="rId5"/>
    <sheet name="UR HRM2" sheetId="6" r:id="rId6"/>
    <sheet name="SZ HRM1" sheetId="7" r:id="rId7"/>
    <sheet name="OW HRM1" sheetId="8" r:id="rId8"/>
    <sheet name="OW HRM2" sheetId="9" r:id="rId9"/>
    <sheet name="NW HRM2" sheetId="10" r:id="rId10"/>
    <sheet name="GL HRM2" sheetId="11" r:id="rId11"/>
    <sheet name="ZG HRM1" sheetId="12" r:id="rId12"/>
    <sheet name="ZG HRM2" sheetId="13" r:id="rId13"/>
    <sheet name="FR MCH2" sheetId="14" r:id="rId14"/>
    <sheet name="SO HRM1" sheetId="15" r:id="rId15"/>
    <sheet name="SO HRM2" sheetId="16" r:id="rId16"/>
    <sheet name="BS HRM1" sheetId="17" r:id="rId17"/>
    <sheet name="BS HRM2" sheetId="18" r:id="rId18"/>
    <sheet name="BL HRM2" sheetId="19" r:id="rId19"/>
    <sheet name="SH HRM1" sheetId="20" r:id="rId20"/>
    <sheet name="AR HRM1" sheetId="21" r:id="rId21"/>
    <sheet name="AR HRM2" sheetId="22" r:id="rId22"/>
    <sheet name="AI HRM1" sheetId="23" r:id="rId23"/>
    <sheet name="SG HRM1" sheetId="24" r:id="rId24"/>
    <sheet name="GR HRM1" sheetId="25" r:id="rId25"/>
    <sheet name="GR HRM2" sheetId="26" r:id="rId26"/>
    <sheet name="AG HRM1" sheetId="27" r:id="rId27"/>
    <sheet name="TG HRM1" sheetId="28" r:id="rId28"/>
    <sheet name="TG HRM2" sheetId="29" r:id="rId29"/>
    <sheet name="TI HRM1" sheetId="30" r:id="rId30"/>
    <sheet name="VD MCH1" sheetId="31" r:id="rId31"/>
    <sheet name="VS MCH1" sheetId="32" r:id="rId32"/>
    <sheet name="NE MCH1" sheetId="33" r:id="rId33"/>
    <sheet name="GE IPSAS" sheetId="34" r:id="rId34"/>
    <sheet name="JU MCH1" sheetId="35" r:id="rId35"/>
    <sheet name="JU MCH2" sheetId="36" r:id="rId36"/>
    <sheet name="CHF" sheetId="37" r:id="rId37"/>
    <sheet name="CHD" sheetId="38" r:id="rId38"/>
    <sheet name="Ergebnisse Rechnung 2011" sheetId="39" r:id="rId39"/>
    <sheet name="Ergebnisse Budgets 2012" sheetId="40" r:id="rId40"/>
    <sheet name="Ergebnisse Rechnung 2012" sheetId="41" r:id="rId41"/>
    <sheet name="Budget 2013" sheetId="42" r:id="rId42"/>
    <sheet name="Übersicht Saldo L. R. " sheetId="43" r:id="rId43"/>
    <sheet name="Finanzierungsfehlbetrag" sheetId="44" r:id="rId44"/>
    <sheet name="Selbstfinanzierungsgrad" sheetId="45" r:id="rId45"/>
  </sheets>
  <definedNames>
    <definedName name="Abschluss_d" localSheetId="39">'Ergebnisse Budgets 2012'!$A$3:$E$38</definedName>
    <definedName name="Abschluss_d" localSheetId="40">'Ergebnisse Rechnung 2012'!$A$3:$E$38</definedName>
    <definedName name="Abschluss_d" localSheetId="43">'Finanzierungsfehlbetrag'!$A$2:$E$35</definedName>
    <definedName name="Abschluss_d" localSheetId="44">'Selbstfinanzierungsgrad'!$A$2:$E$35</definedName>
    <definedName name="Abschluss_d" localSheetId="42">'Übersicht Saldo L. R. '!$A$2:$E$35</definedName>
    <definedName name="Abschluss_d">'Ergebnisse Rechnung 2011'!$A$3:$E$38</definedName>
    <definedName name="Abschluss_f" localSheetId="39">'Ergebnisse Budgets 2012'!#REF!</definedName>
    <definedName name="Abschluss_f" localSheetId="40">'Ergebnisse Rechnung 2012'!#REF!</definedName>
    <definedName name="Abschluss_f" localSheetId="43">'Finanzierungsfehlbetrag'!$H$2:$M$35</definedName>
    <definedName name="Abschluss_f" localSheetId="44">'Selbstfinanzierungsgrad'!$H$2:$M$35</definedName>
    <definedName name="Abschluss_f" localSheetId="42">'Übersicht Saldo L. R. '!$H$2:$M$35</definedName>
    <definedName name="Abschluss_f">'Ergebnisse Rechnung 2011'!#REF!</definedName>
    <definedName name="AG">#REF!</definedName>
    <definedName name="AI">#REF!</definedName>
    <definedName name="AR">#REF!</definedName>
    <definedName name="BE">#REF!</definedName>
    <definedName name="BL">#REF!</definedName>
    <definedName name="BS">#REF!</definedName>
    <definedName name="CH">#REF!</definedName>
    <definedName name="CHF">#REF!</definedName>
    <definedName name="_xlnm.Print_Area" localSheetId="21">'AR HRM2'!$A$1:$G$186</definedName>
    <definedName name="_xlnm.Print_Area" localSheetId="18">'BL HRM2'!$A$1:$G$186</definedName>
    <definedName name="_xlnm.Print_Area" localSheetId="17">'BS HRM2'!$A$1:$G$186</definedName>
    <definedName name="_xlnm.Print_Area" localSheetId="37">'CHD'!$A$1:$I$35</definedName>
    <definedName name="_xlnm.Print_Area" localSheetId="36">'CHF'!$A$1:$I$43</definedName>
    <definedName name="_xlnm.Print_Area" localSheetId="39">'Ergebnisse Budgets 2012'!$A$2:$E$39</definedName>
    <definedName name="_xlnm.Print_Area" localSheetId="38">'Ergebnisse Rechnung 2011'!$A$2:$F$39</definedName>
    <definedName name="_xlnm.Print_Area" localSheetId="40">'Ergebnisse Rechnung 2012'!$A$2:$E$36</definedName>
    <definedName name="_xlnm.Print_Area" localSheetId="43">'Finanzierungsfehlbetrag'!$A$1:$F$33</definedName>
    <definedName name="_xlnm.Print_Area" localSheetId="13">'FR MCH2'!$A$1:$G$186</definedName>
    <definedName name="_xlnm.Print_Area" localSheetId="10">'GL HRM2'!$A$1:$G$186</definedName>
    <definedName name="_xlnm.Print_Area" localSheetId="25">'GR HRM2'!$A$1:$G$186</definedName>
    <definedName name="_xlnm.Print_Area" localSheetId="35">'JU MCH2'!$A$1:$G$186</definedName>
    <definedName name="_xlnm.Print_Area" localSheetId="3">'LU HRM2'!$A$1:$G$186</definedName>
    <definedName name="_xlnm.Print_Area" localSheetId="9">'NW HRM2'!$A$1:$G$186</definedName>
    <definedName name="_xlnm.Print_Area" localSheetId="8">'OW HRM2'!$A$1:$G$186</definedName>
    <definedName name="_xlnm.Print_Area" localSheetId="44">'Selbstfinanzierungsgrad'!$A$1:$F$33</definedName>
    <definedName name="_xlnm.Print_Area" localSheetId="15">'SO HRM2'!$A$1:$G$186</definedName>
    <definedName name="_xlnm.Print_Area" localSheetId="28">'TG HRM2'!$A$1:$G$186</definedName>
    <definedName name="_xlnm.Print_Area" localSheetId="42">'Übersicht Saldo L. R. '!$A$1:$F$33</definedName>
    <definedName name="_xlnm.Print_Area" localSheetId="5">'UR HRM2'!$A$1:$G$186</definedName>
    <definedName name="_xlnm.Print_Area" localSheetId="12">'ZG HRM2'!$A$1:$G$186</definedName>
    <definedName name="_xlnm.Print_Area" localSheetId="0">'ZH HRM2'!$A$1:$G$186</definedName>
    <definedName name="_xlnm.Print_Titles" localSheetId="21">'AR HRM2'!$1:$2</definedName>
    <definedName name="_xlnm.Print_Titles" localSheetId="18">'BL HRM2'!$1:$2</definedName>
    <definedName name="_xlnm.Print_Titles" localSheetId="17">'BS HRM2'!$1:$2</definedName>
    <definedName name="_xlnm.Print_Titles" localSheetId="13">'FR MCH2'!$1:$2</definedName>
    <definedName name="_xlnm.Print_Titles" localSheetId="10">'GL HRM2'!$1:$2</definedName>
    <definedName name="_xlnm.Print_Titles" localSheetId="25">'GR HRM2'!$1:$2</definedName>
    <definedName name="_xlnm.Print_Titles" localSheetId="35">'JU MCH2'!$1:$2</definedName>
    <definedName name="_xlnm.Print_Titles" localSheetId="3">'LU HRM2'!$1:$2</definedName>
    <definedName name="_xlnm.Print_Titles" localSheetId="9">'NW HRM2'!$1:$2</definedName>
    <definedName name="_xlnm.Print_Titles" localSheetId="8">'OW HRM2'!$1:$2</definedName>
    <definedName name="_xlnm.Print_Titles" localSheetId="15">'SO HRM2'!$1:$2</definedName>
    <definedName name="_xlnm.Print_Titles" localSheetId="28">'TG HRM2'!$1:$2</definedName>
    <definedName name="_xlnm.Print_Titles" localSheetId="5">'UR HRM2'!$1:$2</definedName>
    <definedName name="_xlnm.Print_Titles" localSheetId="12">'ZG HRM2'!$1:$2</definedName>
    <definedName name="_xlnm.Print_Titles" localSheetId="0">'ZH HRM2'!$A:$C,'ZH HRM2'!$1:$2</definedName>
    <definedName name="Dtext">#REF!</definedName>
    <definedName name="find">'Finanzierungsfehlbetrag'!$A$1:$F$33</definedName>
    <definedName name="FR">#REF!</definedName>
    <definedName name="Ftext">#REF!</definedName>
    <definedName name="GE">#REF!</definedName>
    <definedName name="GL">#REF!</definedName>
    <definedName name="GR">#REF!</definedName>
    <definedName name="JU">#REF!</definedName>
    <definedName name="Kanton">#REF!</definedName>
    <definedName name="kantone" localSheetId="43">#REF!</definedName>
    <definedName name="kantone" localSheetId="44">#REF!</definedName>
    <definedName name="kantone" localSheetId="42">#REF!</definedName>
    <definedName name="kantone">#REF!</definedName>
    <definedName name="LR" localSheetId="43">#REF!</definedName>
    <definedName name="LR" localSheetId="44">#REF!</definedName>
    <definedName name="LR">#REF!</definedName>
    <definedName name="LRd">'Übersicht Saldo L. R. '!$A$1:$F$33</definedName>
    <definedName name="LU">#REF!</definedName>
    <definedName name="md">#REF!</definedName>
    <definedName name="mf">#REF!</definedName>
    <definedName name="Name">#REF!</definedName>
    <definedName name="Nameeinf" localSheetId="43">#REF!</definedName>
    <definedName name="Nameeinf" localSheetId="44">#REF!</definedName>
    <definedName name="NE">#REF!</definedName>
    <definedName name="NW">#REF!</definedName>
    <definedName name="od">'Ergebnisse Rechnung 2012'!$A$3:$E$37</definedName>
    <definedName name="of">'Ergebnisse Rechnung 2012'!#REF!</definedName>
    <definedName name="OW">#REF!</definedName>
    <definedName name="qd">'Ergebnisse Rechnung 2011'!$A$3:$E$37</definedName>
    <definedName name="qf">'Ergebnisse Rechnung 2011'!#REF!</definedName>
    <definedName name="sd">'Ergebnisse Budgets 2012'!$A$3:$E$37</definedName>
    <definedName name="sf">'Ergebnisse Budgets 2012'!#REF!</definedName>
    <definedName name="SF_GradR" localSheetId="39">'Ergebnisse Budgets 2012'!$A$3:$E$38</definedName>
    <definedName name="SF_GradR" localSheetId="38">'Ergebnisse Rechnung 2011'!$A$3:$E$38</definedName>
    <definedName name="SF_GradR" localSheetId="40">'Ergebnisse Rechnung 2012'!$A$3:$E$38</definedName>
    <definedName name="SF_GradR" localSheetId="43">'Finanzierungsfehlbetrag'!$A$2:$E$35</definedName>
    <definedName name="SF_GradR" localSheetId="44">'Selbstfinanzierungsgrad'!$A$2:$E$35</definedName>
    <definedName name="SF_GradR" localSheetId="42">'Übersicht Saldo L. R. '!$A$2:$E$35</definedName>
    <definedName name="SF_GradR">#REF!</definedName>
    <definedName name="SFd">'Selbstfinanzierungsgrad'!$A$1:$F$33</definedName>
    <definedName name="SFmitohne" localSheetId="43">#REF!</definedName>
    <definedName name="SFmitohne" localSheetId="44">#REF!</definedName>
    <definedName name="SG">#REF!</definedName>
    <definedName name="SH">#REF!</definedName>
    <definedName name="so">#REF!</definedName>
    <definedName name="sotxt">#REF!</definedName>
    <definedName name="SZ">#REF!</definedName>
    <definedName name="Text" localSheetId="43">#REF!</definedName>
    <definedName name="Text" localSheetId="44">#REF!</definedName>
    <definedName name="TG">#REF!</definedName>
    <definedName name="TI">#REF!</definedName>
    <definedName name="Umfrage" localSheetId="43">#REF!</definedName>
    <definedName name="Umfrage" localSheetId="44">#REF!</definedName>
    <definedName name="UR">#REF!</definedName>
    <definedName name="VD">#REF!</definedName>
    <definedName name="Verweis" localSheetId="43">#REF!</definedName>
    <definedName name="Verweis" localSheetId="44">#REF!</definedName>
    <definedName name="VS">#REF!</definedName>
    <definedName name="ZG">#REF!</definedName>
    <definedName name="ZH">#REF!</definedName>
    <definedName name="ZIANT" localSheetId="43">#REF!</definedName>
    <definedName name="ZIANT" localSheetId="44">#REF!</definedName>
  </definedNames>
  <calcPr fullCalcOnLoad="1"/>
</workbook>
</file>

<file path=xl/comments10.xml><?xml version="1.0" encoding="utf-8"?>
<comments xmlns="http://schemas.openxmlformats.org/spreadsheetml/2006/main">
  <authors>
    <author>b150pcm</author>
    <author>Meyer Christian</author>
  </authors>
  <commentList>
    <comment ref="A142" authorId="0">
      <text>
        <r>
          <rPr>
            <b/>
            <sz val="10"/>
            <rFont val="Tahoma"/>
            <family val="2"/>
          </rPr>
          <t>b150pcm:</t>
        </r>
        <r>
          <rPr>
            <sz val="10"/>
            <rFont val="Tahoma"/>
            <family val="2"/>
          </rPr>
          <t xml:space="preserve">
NW wendet Nettomethode an</t>
        </r>
      </text>
    </comment>
    <comment ref="G108" authorId="1">
      <text>
        <r>
          <rPr>
            <b/>
            <sz val="9"/>
            <rFont val="Tahoma"/>
            <family val="2"/>
          </rPr>
          <t>Meyer Christian:</t>
        </r>
        <r>
          <rPr>
            <sz val="9"/>
            <rFont val="Tahoma"/>
            <family val="2"/>
          </rPr>
          <t xml:space="preserve">
Runden eingefügt, wegen Berechnung Kennzahl Zeile 152</t>
        </r>
      </text>
    </comment>
    <comment ref="D86" authorId="0">
      <text>
        <r>
          <rPr>
            <b/>
            <sz val="10"/>
            <rFont val="Tahoma"/>
            <family val="2"/>
          </rPr>
          <t>b150pcm:</t>
        </r>
        <r>
          <rPr>
            <sz val="10"/>
            <rFont val="Tahoma"/>
            <family val="2"/>
          </rPr>
          <t xml:space="preserve">
40'100 stehen im Zusammenhang mit 40'000 im Konto 60 Übertragung in FV</t>
        </r>
      </text>
    </comment>
  </commentList>
</comments>
</file>

<file path=xl/comments18.xml><?xml version="1.0" encoding="utf-8"?>
<comments xmlns="http://schemas.openxmlformats.org/spreadsheetml/2006/main">
  <authors>
    <author>Meyer Christian</author>
  </authors>
  <commentList>
    <comment ref="G175" authorId="0">
      <text>
        <r>
          <rPr>
            <b/>
            <sz val="9"/>
            <rFont val="Tahoma"/>
            <family val="2"/>
          </rPr>
          <t>Meyer Christian:</t>
        </r>
        <r>
          <rPr>
            <sz val="9"/>
            <rFont val="Tahoma"/>
            <family val="2"/>
          </rPr>
          <t xml:space="preserve">
Budget 2013: Gemäss Bevölkerungsprognose Basel-Stadt 2012, Mittleres Szenario, Statistisches Amt des Kantons Basel-Stadt</t>
        </r>
      </text>
    </comment>
  </commentList>
</comments>
</file>

<file path=xl/sharedStrings.xml><?xml version="1.0" encoding="utf-8"?>
<sst xmlns="http://schemas.openxmlformats.org/spreadsheetml/2006/main" count="6370" uniqueCount="684">
  <si>
    <t xml:space="preserve"> </t>
  </si>
  <si>
    <t>Canton</t>
  </si>
  <si>
    <t>Kanton</t>
  </si>
  <si>
    <t>Nettoinvestition</t>
  </si>
  <si>
    <t>Investissement net</t>
  </si>
  <si>
    <t>Selbstfinanzierungsgrad</t>
  </si>
  <si>
    <t>Degré d'autofinancement</t>
  </si>
  <si>
    <t>Ein Selbstfinanzierungsgrad von unter null wird mit "negativ" bezeichnet</t>
  </si>
  <si>
    <t>+ Finanzierungsüberschuss / - Finanzierungsfehlbetrag</t>
  </si>
  <si>
    <t>+ Excedent de financement / - Insuffisnce de financement</t>
  </si>
  <si>
    <t>Saldo L. R.</t>
  </si>
  <si>
    <t>Finanzierung (+/-)</t>
  </si>
  <si>
    <t>Financement (+/-)</t>
  </si>
  <si>
    <t>Saldo Laufende Rechnung 
Excedent des revenues / des charges</t>
  </si>
  <si>
    <t xml:space="preserve">Finanzierung 
Financement </t>
  </si>
  <si>
    <t>Selbstfinanzierungsgrad
Degré d'autofinancement</t>
  </si>
  <si>
    <t>in 1000 Fr. / en 1000 frs.</t>
  </si>
  <si>
    <t>Un degré d'autofinancement inférieur à zéro est marqué "négatif"</t>
  </si>
  <si>
    <t>Excédent des</t>
  </si>
  <si>
    <t>revenus/charges</t>
  </si>
  <si>
    <t>Kanton:</t>
  </si>
  <si>
    <t>Zürich</t>
  </si>
  <si>
    <t>Rechnung</t>
  </si>
  <si>
    <t>Diff.</t>
  </si>
  <si>
    <t xml:space="preserve">Budget </t>
  </si>
  <si>
    <t>in %</t>
  </si>
  <si>
    <t>L A U F E N D E   R E C H N U N G</t>
  </si>
  <si>
    <t>HRM2=&gt;HRM1</t>
  </si>
  <si>
    <t>30</t>
  </si>
  <si>
    <t>Personalaufwand</t>
  </si>
  <si>
    <t>31</t>
  </si>
  <si>
    <t>Sachaufwand</t>
  </si>
  <si>
    <t>davon 314</t>
  </si>
  <si>
    <t>Baulicher Unterhalt</t>
  </si>
  <si>
    <t>32</t>
  </si>
  <si>
    <t>Passivzinsen</t>
  </si>
  <si>
    <t>330</t>
  </si>
  <si>
    <t>Abschreibungen Finanzvermögen</t>
  </si>
  <si>
    <t>331 - 333</t>
  </si>
  <si>
    <t>Abschreibungen Verwaltungsvermögen</t>
  </si>
  <si>
    <t>34 - 37</t>
  </si>
  <si>
    <t>Anteile, Entschädigungen, Beiträge</t>
  </si>
  <si>
    <t>davon 363</t>
  </si>
  <si>
    <t>Beiträge an eigene Anstalten</t>
  </si>
  <si>
    <t>davon 364</t>
  </si>
  <si>
    <t>Beiträge an gemischtwirtschaftliche Unternehmungen</t>
  </si>
  <si>
    <t>davon 365</t>
  </si>
  <si>
    <t>Beiträge an private Institutionen</t>
  </si>
  <si>
    <t xml:space="preserve">  -</t>
  </si>
  <si>
    <t>davon 373</t>
  </si>
  <si>
    <t>Durchl. Beiträge an eigene Anstalten</t>
  </si>
  <si>
    <t>davon 374</t>
  </si>
  <si>
    <t>Durchl. Beiträge an gemischtwirtschaftliche Unternehmungen</t>
  </si>
  <si>
    <t>davon 375</t>
  </si>
  <si>
    <t>Durchl. Beiträge an private Institutionen</t>
  </si>
  <si>
    <t>38</t>
  </si>
  <si>
    <t>Einlagen in Spezialfinanzierungen/Fonds</t>
  </si>
  <si>
    <t>Einlagen in das Eigenkapital</t>
  </si>
  <si>
    <t>39</t>
  </si>
  <si>
    <t>Interne Verrechnungen (Aufwand)</t>
  </si>
  <si>
    <t>3</t>
  </si>
  <si>
    <t>Total Aufwand Laufende Rechnung</t>
  </si>
  <si>
    <t>400 - 404</t>
  </si>
  <si>
    <t>Direkte Steuern</t>
  </si>
  <si>
    <t>405 - 407</t>
  </si>
  <si>
    <t>Uebrige Steuern</t>
  </si>
  <si>
    <t>42</t>
  </si>
  <si>
    <t>Vermögenserträge</t>
  </si>
  <si>
    <t>41 / 43</t>
  </si>
  <si>
    <t>Konzessionen/Entgelte (Gebühren)</t>
  </si>
  <si>
    <t>44 - 47</t>
  </si>
  <si>
    <t>Anteile, Rückerstattungen, Beiträge</t>
  </si>
  <si>
    <t>48</t>
  </si>
  <si>
    <t>Entnahme aus Spezialfinanzierungen</t>
  </si>
  <si>
    <t>Entnahmen aus dem Eigenkapital</t>
  </si>
  <si>
    <t>49</t>
  </si>
  <si>
    <t>Interne Verrechnungen (Ertrag)</t>
  </si>
  <si>
    <t>4</t>
  </si>
  <si>
    <t>Total Ertrag Laufende Rechnung</t>
  </si>
  <si>
    <t>.</t>
  </si>
  <si>
    <t>Saldo Laufende Rechnung</t>
  </si>
  <si>
    <t>I N V E S T I T I O N S R E C H N U N G</t>
  </si>
  <si>
    <t>50</t>
  </si>
  <si>
    <t>Sachgüter</t>
  </si>
  <si>
    <t>52</t>
  </si>
  <si>
    <t>Darlehen und Beteiligungen</t>
  </si>
  <si>
    <t>56 - 58</t>
  </si>
  <si>
    <t>Investitionsbeiträge,übrige Investitionen</t>
  </si>
  <si>
    <t>5</t>
  </si>
  <si>
    <t>Total Ausgaben Investitionsrechnung</t>
  </si>
  <si>
    <t>60 - 61</t>
  </si>
  <si>
    <t>Abgang Sachgüter, Nutzungsabgaben</t>
  </si>
  <si>
    <t>62 - 67</t>
  </si>
  <si>
    <t>Rückzahlung,Rückerstattung,Invest.-Beitr.</t>
  </si>
  <si>
    <t>6</t>
  </si>
  <si>
    <t>Total Einnahmen Investitionsrechnung</t>
  </si>
  <si>
    <t>NI</t>
  </si>
  <si>
    <t>Selbstfinanzierung</t>
  </si>
  <si>
    <t>Finanzierungsfehlbetrag(-)/-überschuss(+)</t>
  </si>
  <si>
    <t>Konsolidierte Gesamtausgaben</t>
  </si>
  <si>
    <t>negativ</t>
  </si>
  <si>
    <t>Bern</t>
  </si>
  <si>
    <t>dev.</t>
  </si>
  <si>
    <t>def.</t>
  </si>
  <si>
    <t>Luzern</t>
  </si>
  <si>
    <t>Budget</t>
  </si>
  <si>
    <t>Uri</t>
  </si>
  <si>
    <t>Schwyz</t>
  </si>
  <si>
    <t>Obwalden</t>
  </si>
  <si>
    <t>Nidwalden</t>
  </si>
  <si>
    <t>Glarus</t>
  </si>
  <si>
    <t>Zug</t>
  </si>
  <si>
    <t>331 - 334</t>
  </si>
  <si>
    <t>Canton:</t>
  </si>
  <si>
    <t>Fribourg</t>
  </si>
  <si>
    <t>Compte</t>
  </si>
  <si>
    <t>C O M P T E   D E   F O N C T I O N N E M E N T</t>
  </si>
  <si>
    <t>Charges de personnel</t>
  </si>
  <si>
    <t>Biens, services et marchandises</t>
  </si>
  <si>
    <t>de cela 314</t>
  </si>
  <si>
    <t>Entretien des Immeubles</t>
  </si>
  <si>
    <t>Intérêts passifs</t>
  </si>
  <si>
    <t>Amortissements sur le patrimoine financier</t>
  </si>
  <si>
    <t>Amortissements sur le patrimoine administratif</t>
  </si>
  <si>
    <t>Parts, dédommagements, subventions</t>
  </si>
  <si>
    <t>de cela 363</t>
  </si>
  <si>
    <t>Subventions accordées; Propres établissements</t>
  </si>
  <si>
    <t>de cela 364</t>
  </si>
  <si>
    <t>Subventions accordées; Sociétés d'économie mixte</t>
  </si>
  <si>
    <t>de cela 365</t>
  </si>
  <si>
    <t>Subventions accordées; Institutions privées</t>
  </si>
  <si>
    <t>de cela 373</t>
  </si>
  <si>
    <t>Subventions redistribuées; Propres établissements</t>
  </si>
  <si>
    <t>de cela 374</t>
  </si>
  <si>
    <t>Subventions redistribuées; Sociétés d'économie mixte</t>
  </si>
  <si>
    <t>de cela 375</t>
  </si>
  <si>
    <t>Subventions redistribuées; Institutions privées</t>
  </si>
  <si>
    <t>Attributions aux financements spéciaux</t>
  </si>
  <si>
    <t>Attributions au capital propre</t>
  </si>
  <si>
    <t>Imputations internes</t>
  </si>
  <si>
    <t>Total des charges</t>
  </si>
  <si>
    <t>Impôts</t>
  </si>
  <si>
    <t>Autres impôts</t>
  </si>
  <si>
    <t>Revenus des biens</t>
  </si>
  <si>
    <t>Concessions / Contributions</t>
  </si>
  <si>
    <t>Prélèvements aux financements spéciaux</t>
  </si>
  <si>
    <t>Total des revenus</t>
  </si>
  <si>
    <t>Excedent des revenus / des charges (-)</t>
  </si>
  <si>
    <t>C O M P T E  DES  I N V E S T I S S E M E N T S</t>
  </si>
  <si>
    <t>Investissements propres</t>
  </si>
  <si>
    <t>Prêts et participations permanentes</t>
  </si>
  <si>
    <t>Subventions, autres investissements</t>
  </si>
  <si>
    <t>Total des dépenses</t>
  </si>
  <si>
    <t>Transferts au patrim.financier/Contrib.de tiers</t>
  </si>
  <si>
    <t>Remboursements/Subventions</t>
  </si>
  <si>
    <t>Total des recettes</t>
  </si>
  <si>
    <t>Autofinancement</t>
  </si>
  <si>
    <t>Insuffisance (-) / Excedent de financement</t>
  </si>
  <si>
    <t>Total des dépenses effectives</t>
  </si>
  <si>
    <t>Solothurn</t>
  </si>
  <si>
    <t>38 / 335</t>
  </si>
  <si>
    <t>Einlagen in Spezialfinanz./Fonds</t>
  </si>
  <si>
    <t>Basel-Stadt</t>
  </si>
  <si>
    <t xml:space="preserve">Basel-Landschaft 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</si>
  <si>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</si>
  <si>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</si>
  <si>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</si>
  <si>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</si>
  <si>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</si>
  <si>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</si>
  <si>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</si>
  <si>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62 - 69</t>
  </si>
  <si>
    <t>Tessin</t>
  </si>
  <si>
    <t>Vaud</t>
  </si>
  <si>
    <t>def</t>
  </si>
  <si>
    <t>Prélèvements sur le capital propre</t>
  </si>
  <si>
    <t>Valais</t>
  </si>
  <si>
    <t>Neuchâtel</t>
  </si>
  <si>
    <t>Genève</t>
  </si>
  <si>
    <t>330/335/339</t>
  </si>
  <si>
    <t>Amortissements sur le patrimoine financier / Moins-values non réalisées sur placements financiers / Créances irrécouvrables</t>
  </si>
  <si>
    <t>331 - 334/336-338</t>
  </si>
  <si>
    <t>38 /3x</t>
  </si>
  <si>
    <t>Attributions aux financements spéciaux /Charges non Réparties</t>
  </si>
  <si>
    <t>41 / 43 / 439</t>
  </si>
  <si>
    <t>Concessions / Contributions / dissolution de provision</t>
  </si>
  <si>
    <t>Jura</t>
  </si>
  <si>
    <t>MCH2=&gt;MCH1</t>
  </si>
  <si>
    <t>26 Cantons</t>
  </si>
  <si>
    <t>26 Kantone</t>
  </si>
  <si>
    <t xml:space="preserve">L A U F E N D E   R E C H N U N G        </t>
  </si>
  <si>
    <t>Résultats des Comptes 2011 des cantons</t>
  </si>
  <si>
    <t>Abschlusszahlen der Rechnungen 2011 der Kantone</t>
  </si>
  <si>
    <t>Zürich    HRM2</t>
  </si>
  <si>
    <t>Nidwalden   HRM2</t>
  </si>
  <si>
    <t>Glarus  HRM2</t>
  </si>
  <si>
    <t>Fribourg  MCH2</t>
  </si>
  <si>
    <t>Basel-Landschaft  HRM2</t>
  </si>
  <si>
    <t>Kantone die HRM2 anwenden, sind mit HRM2 markiert   /  Cantons qui utilises MCH2 sont marqué HRM2</t>
  </si>
  <si>
    <t>Résultats des Budgets 2012 des cantons</t>
  </si>
  <si>
    <t>Abschlusszahlen der Budget s 2012 der Kantone</t>
  </si>
  <si>
    <t>Luzern  HRM2</t>
  </si>
  <si>
    <t>Uri  HRM2</t>
  </si>
  <si>
    <t>Obwalden  HRM2</t>
  </si>
  <si>
    <t>Zug  HRM2</t>
  </si>
  <si>
    <t>Solothurn  HRM2</t>
  </si>
  <si>
    <t>Thurgau  HRM2</t>
  </si>
  <si>
    <t>Jura  HRM2</t>
  </si>
  <si>
    <t>Résultats des Comptes 2012 des cantons</t>
  </si>
  <si>
    <t>Abschlusszahlen der Rechnungen 2012 der Kantone</t>
  </si>
  <si>
    <t>Résultats des Budgets 2013 des cantons</t>
  </si>
  <si>
    <t>Abschlusszahlen der Budget s 2013 der Kantone</t>
  </si>
  <si>
    <t>Basel-Stadt  HRM2</t>
  </si>
  <si>
    <t>Appenzell A.Rh.  HRM2</t>
  </si>
  <si>
    <t>Graubünden  HRM2</t>
  </si>
  <si>
    <t>Differenz</t>
  </si>
  <si>
    <t>B 12 - R 12</t>
  </si>
  <si>
    <t>R 12 - B 13</t>
  </si>
  <si>
    <t>HRM2 / MCH2</t>
  </si>
  <si>
    <t>-</t>
  </si>
  <si>
    <t xml:space="preserve">Kanton: </t>
  </si>
  <si>
    <t>ZH</t>
  </si>
  <si>
    <t>in 1000 Franken</t>
  </si>
  <si>
    <t>ERFOLGSRECHNUNG</t>
  </si>
  <si>
    <t>Sach- und übriger Betriebsaufwand</t>
  </si>
  <si>
    <t>baulicher und betrieblicher Unterhalt</t>
  </si>
  <si>
    <t>davon 3180</t>
  </si>
  <si>
    <t>Wertberichtigungen auf Forderungen</t>
  </si>
  <si>
    <t>Abschreibungen Sachanlagen VV</t>
  </si>
  <si>
    <t>Abschreibungen Immaterielle Anlagen VV</t>
  </si>
  <si>
    <t>Abtragung Bilanzfehlbetrag</t>
  </si>
  <si>
    <t>Einlagen in Fonds und Spezialfinanzierungen im FK</t>
  </si>
  <si>
    <t>Einlagen in Fonds und Spezialfinanzierungen im EK</t>
  </si>
  <si>
    <t>Transferaufwand</t>
  </si>
  <si>
    <t>davon 3634</t>
  </si>
  <si>
    <t>Beiträge an öffentliche Unternehmungen</t>
  </si>
  <si>
    <t>davon 3635</t>
  </si>
  <si>
    <t>Beiträge an private Unternehmungen</t>
  </si>
  <si>
    <t>davon 364, 365 und 366</t>
  </si>
  <si>
    <t>Wertberichtigungen Darlehen VV, Beteiligungen VV und Investitionsbeiträge</t>
  </si>
  <si>
    <t>Durchlaufende Beiträge</t>
  </si>
  <si>
    <t>davon 3704</t>
  </si>
  <si>
    <t>Durchlaufende Beiträge an öffentliche Unternehmungen</t>
  </si>
  <si>
    <t>davon 3705</t>
  </si>
  <si>
    <t>Durchlaufende Beiträge an private Unternehmungen</t>
  </si>
  <si>
    <t>Interne Verrechungen</t>
  </si>
  <si>
    <t>Total Betrieblicher Aufwand (ohne SG 39)</t>
  </si>
  <si>
    <t>400 + 401</t>
  </si>
  <si>
    <t>Direkte Steuern natürliche und juristische Personen</t>
  </si>
  <si>
    <t>402 + 403</t>
  </si>
  <si>
    <t>Übrige direkte Steuer; Besitz- und Aufwandsteuern</t>
  </si>
  <si>
    <t>Regalien und Konzessionen</t>
  </si>
  <si>
    <t>Entgelte</t>
  </si>
  <si>
    <t>Verschiedene Erträge</t>
  </si>
  <si>
    <t>Aktivierung Eigenleistung</t>
  </si>
  <si>
    <t>Bestandesveränderungen</t>
  </si>
  <si>
    <t>Übriger Ertrag</t>
  </si>
  <si>
    <t>Entnahmen aus Fonds und Spezialfinanzierungen im Fremdkapital</t>
  </si>
  <si>
    <t>Entnahmen aus Fonds und Spezialfinanzierungen im Eigenkapital</t>
  </si>
  <si>
    <t>Transferertrag</t>
  </si>
  <si>
    <t>davon 466</t>
  </si>
  <si>
    <t>Auflösung passivierter Investitionsbeiträge</t>
  </si>
  <si>
    <t>Interne Verrechnungen</t>
  </si>
  <si>
    <t>Total Betrieblicher Ertrag (ohne SG 49)</t>
  </si>
  <si>
    <t>Ergebnis aus betrieblicher Tätigkeit</t>
  </si>
  <si>
    <t>Zinsaufwand</t>
  </si>
  <si>
    <t>Realisierte Kursverluste</t>
  </si>
  <si>
    <t>Kapitalbeschaffungs- und Verwaltungskosten</t>
  </si>
  <si>
    <t>Liegenschaftenaufwand FV</t>
  </si>
  <si>
    <t>Wertberichtigungen Anlagen FV</t>
  </si>
  <si>
    <t>Verschiedener Finanzaufwand</t>
  </si>
  <si>
    <t>Zinsertrag</t>
  </si>
  <si>
    <t>Realisierte Gewinne FV</t>
  </si>
  <si>
    <t>Beteiligungsertrag FV</t>
  </si>
  <si>
    <t>Liegenschaftenertrag FV</t>
  </si>
  <si>
    <t>Finanzertrag aus Darlehen und Beteiligungen VV</t>
  </si>
  <si>
    <t>Finanzertrag von öffentlichen Unternehmungen</t>
  </si>
  <si>
    <t>Liegenschaftenertrag VV</t>
  </si>
  <si>
    <t>Erträge von gemieteten Liegenschaften</t>
  </si>
  <si>
    <t>übriger Finanzertrag</t>
  </si>
  <si>
    <t>davon 4490</t>
  </si>
  <si>
    <t>Aufwertungen Verwaltungsvermögen</t>
  </si>
  <si>
    <t>Ergebnis aus Finanzierung</t>
  </si>
  <si>
    <t>Operatives Ergebnis</t>
  </si>
  <si>
    <t>a.o. Personalaufwand</t>
  </si>
  <si>
    <t>a.o. Sach- und Betriebsaufwand</t>
  </si>
  <si>
    <t>Zusätzliche Abschreibungen Sachanlagen und immat. Anlagen VV</t>
  </si>
  <si>
    <t>a.o. Finanzaufwand (Geldwirksam)</t>
  </si>
  <si>
    <t>a.o. Finanzaufwand (Wertberichtigungen)</t>
  </si>
  <si>
    <t>a.o.Transferaufwand (Geldwirksam)</t>
  </si>
  <si>
    <t>Zusätzlich Abschreibungen Darlehen, Beteiligungen, Invest.-Beiträge VV</t>
  </si>
  <si>
    <t>4800 + 4801</t>
  </si>
  <si>
    <t>a.o. Direkte Steuern natürliche und juristische Personen</t>
  </si>
  <si>
    <t>4802 + 4803</t>
  </si>
  <si>
    <t>a.o. übrige direkte Steuern; a.o. Besitz- und Aufwandsteuern</t>
  </si>
  <si>
    <t>a.o. Regalien, Konzessionen</t>
  </si>
  <si>
    <t>a.o. Entgelte</t>
  </si>
  <si>
    <t>a.o. verschiedene Erträge</t>
  </si>
  <si>
    <t>a.o. Finanzerträge</t>
  </si>
  <si>
    <t>a.o. Entnahmen aus Fonds und Spezialfinanzierungen</t>
  </si>
  <si>
    <t>a.o. Transfererträge</t>
  </si>
  <si>
    <t>Zusätzliche Auflösung passivierter Investitionsbeiträge</t>
  </si>
  <si>
    <t>davon 4895</t>
  </si>
  <si>
    <t>Entnahmen aus Aufwertungsreserven</t>
  </si>
  <si>
    <t>Ausserordentliches Ergebnis</t>
  </si>
  <si>
    <t>Gesamtergebnis Erfolgsrechung</t>
  </si>
  <si>
    <t>Aufwand</t>
  </si>
  <si>
    <t>Ertrag</t>
  </si>
  <si>
    <t>INVESTITIONSRECHNUNG</t>
  </si>
  <si>
    <t>Sachanlagen</t>
  </si>
  <si>
    <t>Investitionen auf Rechnung Dritter</t>
  </si>
  <si>
    <t>Immaterielle Anlagen</t>
  </si>
  <si>
    <t>Darlehen</t>
  </si>
  <si>
    <t>Beteiligungen und Grundkapitalien</t>
  </si>
  <si>
    <t>Eigene Investitionsbeiträge</t>
  </si>
  <si>
    <t>Durchlaufende Investitionsbeiträge</t>
  </si>
  <si>
    <t>a.o. Investitionen für Sachanlagen</t>
  </si>
  <si>
    <t>a.o. Investitionen für immaterielle Anlagen</t>
  </si>
  <si>
    <t>a.o. Investitionen für Darlehen</t>
  </si>
  <si>
    <t>a.o. Investitionen für Beteiligungen und Grundkapitalien</t>
  </si>
  <si>
    <t>a.o. eigene Investitionsbeiträge</t>
  </si>
  <si>
    <t>Übrige a.o. Investitionen</t>
  </si>
  <si>
    <t>Investitionsausgaben gesamt</t>
  </si>
  <si>
    <t>Übertragung von Sachanlagen in das FV</t>
  </si>
  <si>
    <t>Rückerstattungen Dritter für Investitionen</t>
  </si>
  <si>
    <t>Abgang immaterielle Anlagen</t>
  </si>
  <si>
    <t>Investitionsbeiträge für eigene Rechnung</t>
  </si>
  <si>
    <t>Rückzahlung von Darlehen</t>
  </si>
  <si>
    <t>Übertragung von Beteiligungen</t>
  </si>
  <si>
    <t>Rückzahlung eigener Investitionsbeiträge</t>
  </si>
  <si>
    <t>680 + 682
+ 689</t>
  </si>
  <si>
    <t>a.o. Investitionseinnahmen für Sachanlagen, immaterielle Anlagen und übrige Anlagen</t>
  </si>
  <si>
    <t>683 bis 686</t>
  </si>
  <si>
    <t>a.o. Investitionsbeiträge für eigene Rechnung; Rückzahlungen von Darlehen; Übertragung von Beteiligungen; Rückzahlung von eigenen Beiträgen</t>
  </si>
  <si>
    <t>Investitionseinnahmen gesamt</t>
  </si>
  <si>
    <t>HRM2-Tabelle 18.19</t>
  </si>
  <si>
    <t>Nettoinv. II</t>
  </si>
  <si>
    <t>Nettoinvestition ohne Darlehen und Beteiligungen</t>
  </si>
  <si>
    <t>BILANZ</t>
  </si>
  <si>
    <t>Finanzvermögen</t>
  </si>
  <si>
    <t>10 kf. FV</t>
  </si>
  <si>
    <t>Umlaufvermögen (kurzfristiges Finanzvermögen)</t>
  </si>
  <si>
    <t>100+101</t>
  </si>
  <si>
    <t>Flüssige Mittel, Forderungen</t>
  </si>
  <si>
    <t>Kurzfr. Finanzanlagen</t>
  </si>
  <si>
    <t>Aktive Rechnungsabgrenzungen (Transit. Aktiven)</t>
  </si>
  <si>
    <t>Vorräte und angefangene Arbeiten</t>
  </si>
  <si>
    <t>10 lf. FV</t>
  </si>
  <si>
    <t>Anlagevermögen FV (langfristiges Finanzvermögen)</t>
  </si>
  <si>
    <t>Langfristige Finanzanlagen FV</t>
  </si>
  <si>
    <t>Sachanlagen FV</t>
  </si>
  <si>
    <t>Forderungen gegenüber Spezialfinanzierungen und Fonds im FK</t>
  </si>
  <si>
    <t>Verwaltungsvermögen</t>
  </si>
  <si>
    <t>140+142</t>
  </si>
  <si>
    <t>Sachanlagen, Immaterielle Anlagen</t>
  </si>
  <si>
    <t>Beteiligungen / Grundkapitalien</t>
  </si>
  <si>
    <t>Investitionsbeiträge</t>
  </si>
  <si>
    <t>1480+1482</t>
  </si>
  <si>
    <t>Kum. zusätzliche Abschreibungen Sachanlagen, Immaterielle Anlagen (negative Vorzeichen)</t>
  </si>
  <si>
    <t>Kum. zusätzliche Abschreibungen Darlehen</t>
  </si>
  <si>
    <t>Kum. zusätzliche Abschreibungen Beteiligungen</t>
  </si>
  <si>
    <t>Kum. zusätzliche Abschreibungen Investitionsbeiträge</t>
  </si>
  <si>
    <t>Nicht zugeteilte kum. zusätzliche Abschreibungen</t>
  </si>
  <si>
    <t>Aktiven</t>
  </si>
  <si>
    <t>Fremdkapital</t>
  </si>
  <si>
    <t>20 kf. FK</t>
  </si>
  <si>
    <t>Kurzfristiges Fremdkapital</t>
  </si>
  <si>
    <t>Laufende Verbindlichkeiten</t>
  </si>
  <si>
    <t>Kurzfristige Finanzverbindlichkeiten</t>
  </si>
  <si>
    <t>davon 2016</t>
  </si>
  <si>
    <t>derivative Finanzinstrumente</t>
  </si>
  <si>
    <t>Passive Rechnungsabgrenzungen (Transit. Passiven)</t>
  </si>
  <si>
    <t>Kurzfristige Rückstellungen</t>
  </si>
  <si>
    <t>20 lf. FK</t>
  </si>
  <si>
    <t>Langfristiges Fremdkapital</t>
  </si>
  <si>
    <t>Langfristige Finanzverbindlichkeiten</t>
  </si>
  <si>
    <t>davon 2068</t>
  </si>
  <si>
    <t>passivierte Investitionsbeiträge</t>
  </si>
  <si>
    <t>Langfristige Rückstellungen</t>
  </si>
  <si>
    <t>Verbindlichkeiten gegenüber Spezialfinanzierungen und Fonds im FK</t>
  </si>
  <si>
    <t>Eigenkapital</t>
  </si>
  <si>
    <t>davon 299</t>
  </si>
  <si>
    <t>Bilanzüberschuss (- Bilanzfehlbetrag)</t>
  </si>
  <si>
    <t>Passiven</t>
  </si>
  <si>
    <t>KENNZAHLEN</t>
  </si>
  <si>
    <t>1000 Fr.</t>
  </si>
  <si>
    <t>HRM2-Tabelle 18.23</t>
  </si>
  <si>
    <t>HRM2-Tabelle 18.8</t>
  </si>
  <si>
    <t>Selbstfinanzierungsanteil</t>
  </si>
  <si>
    <t>HRM2-Tabelle 18.2</t>
  </si>
  <si>
    <t>Selbstfinanzierungsgrad inkl. Darlehen und Beteiligungen der Investitionsrechnung</t>
  </si>
  <si>
    <t>Selbstfinanzierungsgrad ohne Darlehen und Beteiligungen der Investitionsrechnung</t>
  </si>
  <si>
    <t>Nettoinvestition - Selbstfinanzierung</t>
  </si>
  <si>
    <t>Finanzierungsergebnis inkl. Darlehen und Beteiligungen der Investitionsrechnung</t>
  </si>
  <si>
    <t>Nettoinvestition ohne Darl./Bet. - Selbstfin.</t>
  </si>
  <si>
    <t>Finanzierungsergebnis ohne Darlehen und Beteiligungen der Investitionsrechnung</t>
  </si>
  <si>
    <t>HRM2-Tabelle 18.10</t>
  </si>
  <si>
    <t>Bruttoschulden</t>
  </si>
  <si>
    <t>HRM2-Tabelle 18.4</t>
  </si>
  <si>
    <t>Bruttoverschuldungsanteil</t>
  </si>
  <si>
    <t>HRM2-Tabelle 18.20</t>
  </si>
  <si>
    <t>Nettoschulden I</t>
  </si>
  <si>
    <t>HRM2-Tabelle 18.21</t>
  </si>
  <si>
    <t>Nettoschulden II</t>
  </si>
  <si>
    <t>HRM2-Tabelle 18.7</t>
  </si>
  <si>
    <t>Nettoschuld I in Fr. je Einwohner</t>
  </si>
  <si>
    <t>Nettoschuld II in Fr. je Einwohner</t>
  </si>
  <si>
    <t>HRM2-Tabelle 18.1</t>
  </si>
  <si>
    <t>Nettoverschuldungsquotient</t>
  </si>
  <si>
    <t>SG 29</t>
  </si>
  <si>
    <t>Eigenkapital (in 1000 Fr.)</t>
  </si>
  <si>
    <t>SG 299  in % Laufender Aufwand</t>
  </si>
  <si>
    <t>Eigenkapitaldeckungsgrad</t>
  </si>
  <si>
    <t>HRM2-Tabelle 18.5</t>
  </si>
  <si>
    <t>Kapitaldienstanteil</t>
  </si>
  <si>
    <t>SG 44 - SG 34</t>
  </si>
  <si>
    <t>Ertrag FV in % SG 10</t>
  </si>
  <si>
    <t>Bruttorendite des Finanzvermögens</t>
  </si>
  <si>
    <t>HRM2-Tabelle 18.22</t>
  </si>
  <si>
    <t>Nettozinsaufwand</t>
  </si>
  <si>
    <t>HRM2-Tabelle 18.3</t>
  </si>
  <si>
    <t>Zinsbelastungsanteil</t>
  </si>
  <si>
    <t>HRM2-Tabelle 18.9</t>
  </si>
  <si>
    <t>Bruttoinvestitionen</t>
  </si>
  <si>
    <t>HRM2-Tabelle 18.13</t>
  </si>
  <si>
    <t>Investitionseinnahmen</t>
  </si>
  <si>
    <t>Investitionsanteil</t>
  </si>
  <si>
    <t>STATISTIK</t>
  </si>
  <si>
    <t>HRM2-Tabelle 18.24</t>
  </si>
  <si>
    <t>Ständige Wohnbevölkerung am Jahresende</t>
  </si>
  <si>
    <t>Hilfsgrössen</t>
  </si>
  <si>
    <t>HRM2-Tabelle 18.18</t>
  </si>
  <si>
    <t>Laufender Ertrag</t>
  </si>
  <si>
    <t>HRM2-Tabelle 18.16</t>
  </si>
  <si>
    <t>Laufender Aufwand</t>
  </si>
  <si>
    <t>Gesamtaufwand</t>
  </si>
  <si>
    <t>HRM2-Tabelle 18.14</t>
  </si>
  <si>
    <t>Kapitaldienst</t>
  </si>
  <si>
    <r>
      <t xml:space="preserve">Finanzrechnung
</t>
    </r>
    <r>
      <rPr>
        <sz val="10"/>
        <rFont val="Arial Narrow"/>
        <family val="2"/>
      </rPr>
      <t>HRM2-Tabelle 18.17</t>
    </r>
  </si>
  <si>
    <t>Laufende Einnahmen</t>
  </si>
  <si>
    <t>HRM2-Tabelle 18.12</t>
  </si>
  <si>
    <t>Gesamteinnahmen</t>
  </si>
  <si>
    <t>HRM2-Tabelle 18.15</t>
  </si>
  <si>
    <t>Laufende Ausgaben</t>
  </si>
  <si>
    <t>HRM2-Tabelle 18.11</t>
  </si>
  <si>
    <t>Gesamtausgaben</t>
  </si>
  <si>
    <t>Ergebnis Finanzrechnung Laufende Zahlungen</t>
  </si>
  <si>
    <t>Ergebnis Finanzrechnung Gesamt</t>
  </si>
  <si>
    <t>ZG</t>
  </si>
  <si>
    <t>UR</t>
  </si>
  <si>
    <t>dvon 2016</t>
  </si>
  <si>
    <t>TG</t>
  </si>
  <si>
    <t>SO</t>
  </si>
  <si>
    <t>NW</t>
  </si>
  <si>
    <t>OW</t>
  </si>
  <si>
    <t xml:space="preserve">Ständige Wohnbevölkerung am Jahresende </t>
  </si>
  <si>
    <t>LU</t>
  </si>
  <si>
    <t>JU</t>
  </si>
  <si>
    <t>en 1000 frcs.</t>
  </si>
  <si>
    <t>Compte de résultats</t>
  </si>
  <si>
    <t>Charges de biens et services et autres charges d'exploitation</t>
  </si>
  <si>
    <t>Gros entretien et entretien courant</t>
  </si>
  <si>
    <t>de cela 3180</t>
  </si>
  <si>
    <t>Réévaluations sur créances</t>
  </si>
  <si>
    <t>Immobilisations corporelles du PA</t>
  </si>
  <si>
    <t>Amortissements des immobilisations incorporelles</t>
  </si>
  <si>
    <t>Remboursement du découvert du bilan</t>
  </si>
  <si>
    <t>Attributions aux fonds et financements spéciaux enregistrées sous capitaux de tiers</t>
  </si>
  <si>
    <t>Attributions aux fonds et financements spéciaux enregistrées sous Capital propre</t>
  </si>
  <si>
    <t>Charges de transfert</t>
  </si>
  <si>
    <t>de cela 3634</t>
  </si>
  <si>
    <t>Subventions accordées aux entreprises publiques</t>
  </si>
  <si>
    <t>de cela 3635</t>
  </si>
  <si>
    <t>Subventions accordées aux entreprises privées</t>
  </si>
  <si>
    <t>de cela 364, 365 et 366</t>
  </si>
  <si>
    <t>Réévaluations emprunts PA, participations PA et subventions d'investissements</t>
  </si>
  <si>
    <t>Subventions à redistribuer</t>
  </si>
  <si>
    <t>de cela 3704</t>
  </si>
  <si>
    <t>Subventions à redistribuer aux entreprises publiques</t>
  </si>
  <si>
    <t>de ceal 3705</t>
  </si>
  <si>
    <t>Subventions à redistribuer aux entreprises privées</t>
  </si>
  <si>
    <t>charges d'exploitation (sauf GN 39)</t>
  </si>
  <si>
    <t>Impôts directs Personnes physiques et personnes morales</t>
  </si>
  <si>
    <t>Autres impôts directs; Impôt sur la propriété et sur les charges</t>
  </si>
  <si>
    <t>Patentes et concessions</t>
  </si>
  <si>
    <t>Taxes</t>
  </si>
  <si>
    <t>Revenus d'exploitation di-vers</t>
  </si>
  <si>
    <t>Activation des prestations propres</t>
  </si>
  <si>
    <t>Variations de stocks</t>
  </si>
  <si>
    <t>Autres revenus</t>
  </si>
  <si>
    <t>Prélèvements sur les fonds et financements spéciaux enregistrés sous Capitaux de tiers</t>
  </si>
  <si>
    <t>Prélèvements sur les fonds et financements spéciaux enregistrés sous Capital propre</t>
  </si>
  <si>
    <t>Revenus de transferts</t>
  </si>
  <si>
    <t>de cela 466</t>
  </si>
  <si>
    <t>Dissolution des subventions d'investissements portées au passif</t>
  </si>
  <si>
    <t>Revenus d'exploitation (sauf GN 49)</t>
  </si>
  <si>
    <t>Résultat provenant des aktivités d'exploitation</t>
  </si>
  <si>
    <t>Charge d'intérêt</t>
  </si>
  <si>
    <t>Pertes de change réalisées</t>
  </si>
  <si>
    <t>Frais d'approvisionnement en capitaux et frais administratifs</t>
  </si>
  <si>
    <t>Charges de transfert extraordinaires (flux de trésorérie)</t>
  </si>
  <si>
    <t>Réévaluations, immobilisations PF</t>
  </si>
  <si>
    <t>Différentes charges financières</t>
  </si>
  <si>
    <t>Revenus des intérêts</t>
  </si>
  <si>
    <t>Gains réalisés</t>
  </si>
  <si>
    <t>Revenus de participations PF</t>
  </si>
  <si>
    <t>Produit des immeubles du PF</t>
  </si>
  <si>
    <t>Réévaluations, immobilistaions PF</t>
  </si>
  <si>
    <t>Revenus financiers de prêts et de participations du PA</t>
  </si>
  <si>
    <t>Revenus financiers d'entrepirse publiques</t>
  </si>
  <si>
    <t>Produit des immeubles PA</t>
  </si>
  <si>
    <t>Revenus des immeubles loués</t>
  </si>
  <si>
    <t>autres Revenus financiers</t>
  </si>
  <si>
    <t>de cela 4490</t>
  </si>
  <si>
    <t>Réévaluations PA</t>
  </si>
  <si>
    <t>Résultat provenant de financements</t>
  </si>
  <si>
    <t>Résultat opérationnel</t>
  </si>
  <si>
    <t>Charges de personnel e.o.</t>
  </si>
  <si>
    <t>Charges de biens, services et charges d'exploitation e.o.</t>
  </si>
  <si>
    <t>Amortissements supplémentaires des immobilisations corporelles et incorporelles PA</t>
  </si>
  <si>
    <t>Charges financières extraordinaires (flux de trésorérie)</t>
  </si>
  <si>
    <t>Charges financières extraordinaires, réévaluations extraordinaires (comptable)</t>
  </si>
  <si>
    <t>Charges de transfert ex-traordinaires (flux de trésorérie)</t>
  </si>
  <si>
    <t>Amortissements supplémentaires des prêts, participations et subventions d’investissements</t>
  </si>
  <si>
    <t>Impôts directs extraordinaires, personnes physiques et morales</t>
  </si>
  <si>
    <t>Autres impôts directs extraordinaires; Impôts extraordinaires sur la propriété et sur les charges</t>
  </si>
  <si>
    <t>Revenus extraordinaires de patentes, concessions</t>
  </si>
  <si>
    <t>Contributions extraordinaires</t>
  </si>
  <si>
    <t>Revenus divers extraordinaires</t>
  </si>
  <si>
    <t>Revenus financiers extraordinaires</t>
  </si>
  <si>
    <t>Prélèvements extraordinaires sur les fonds et financements spéciaux</t>
  </si>
  <si>
    <t xml:space="preserve">Parts aux revenus extraordinaires </t>
  </si>
  <si>
    <t>Dissolution supplémentaire des subventions d’investissements portées au passif</t>
  </si>
  <si>
    <t>de cela 4895</t>
  </si>
  <si>
    <t>Prélèvements sur réserve liée au retraitement</t>
  </si>
  <si>
    <t>Résultat extraordinaire</t>
  </si>
  <si>
    <t>Résultat total, compte de résultats</t>
  </si>
  <si>
    <t>Comptes des investissements</t>
  </si>
  <si>
    <t>Immobilisations corporelles</t>
  </si>
  <si>
    <t>Investissements pour le compte de tiers</t>
  </si>
  <si>
    <t>Immobilisations incorporelles</t>
  </si>
  <si>
    <t>Prêts</t>
  </si>
  <si>
    <t>Participations et capital social</t>
  </si>
  <si>
    <t>Propres subventions d'investissement</t>
  </si>
  <si>
    <t>Subventions d'investissements à redistribuer</t>
  </si>
  <si>
    <t>Investissements extraordinaires pour les immobilisations corporelles</t>
  </si>
  <si>
    <t>Investissements extraordinaires pour les immobilisations incorporelles</t>
  </si>
  <si>
    <t>Investissements extraordinaires pour les prêts</t>
  </si>
  <si>
    <t>Investissements extraordinaires pour les participations et le capital social</t>
  </si>
  <si>
    <t xml:space="preserve">Subventions d'investissements extraordinaires </t>
  </si>
  <si>
    <t>Autres investissements extraordinaires</t>
  </si>
  <si>
    <t>Dépenses d'investissements total</t>
  </si>
  <si>
    <t>Transfert d'immobilisations corporelles dans le patrimoine financier</t>
  </si>
  <si>
    <t>Remboursements pour les investissements sur le compte des tiers</t>
  </si>
  <si>
    <t>Vente d'immobilisations incorporelles</t>
  </si>
  <si>
    <t>Subventions d'investissements acquises</t>
  </si>
  <si>
    <t>Remboursement de prêts</t>
  </si>
  <si>
    <t>Transfert de participations</t>
  </si>
  <si>
    <t>Remboursement de propres subventions d'investissement</t>
  </si>
  <si>
    <t xml:space="preserve">Recettes d'investissement extraordinaires pour les immobilisations corporelles, pour les immobilisations incorporelles et autres recettes d'investissement </t>
  </si>
  <si>
    <t>683 à 686</t>
  </si>
  <si>
    <t>Subventions d'investissements extraordinaires acquises; Remboursement extraordinaire de prêts; Transfert extraordinaire de participations; Remboursement extraordinaire de propres subventions d'investissement</t>
  </si>
  <si>
    <t>Recettes d'investissements total</t>
  </si>
  <si>
    <t>Investissement net sauf prêts et participations</t>
  </si>
  <si>
    <t>Patrimoine Financier</t>
  </si>
  <si>
    <t>Actif circulant (Actif financier à court terme)</t>
  </si>
  <si>
    <t>Disponibilités et place-ments à court terme; Créances</t>
  </si>
  <si>
    <t>Placements financiers à court terme</t>
  </si>
  <si>
    <t xml:space="preserve">Actifs de régularisation </t>
  </si>
  <si>
    <t>Marchandises, fournitures et travaux en cours</t>
  </si>
  <si>
    <t>Actif immobilisée</t>
  </si>
  <si>
    <t>Placements financiers</t>
  </si>
  <si>
    <t>Immobilisations corporelles PF</t>
  </si>
  <si>
    <t>Créances envers les financements spéciaux et fonds des capitaux de tiers</t>
  </si>
  <si>
    <t>Patrimoine administratif</t>
  </si>
  <si>
    <t>Immobilisations corporelles et incorporelles du PA</t>
  </si>
  <si>
    <t>Participations, capital social</t>
  </si>
  <si>
    <t>Subventions d'investissements</t>
  </si>
  <si>
    <t>Amortissements supplémentaires cumulés, immobilisations corporelles et  immobilisations incorporelles (négativ)</t>
  </si>
  <si>
    <t>Amortissements supplémentaires cumulés sur prêts</t>
  </si>
  <si>
    <t>Amortissements supplémentaires cumulés sur participations</t>
  </si>
  <si>
    <t>Amortissements supplémentaires cumulés, Subventions d'investissements</t>
  </si>
  <si>
    <t xml:space="preserve">Amortissements supplémentaires cumulés non attribués </t>
  </si>
  <si>
    <t>Actif</t>
  </si>
  <si>
    <t>Capitaux de tiers</t>
  </si>
  <si>
    <t>Capitaux de tiers à court terme</t>
  </si>
  <si>
    <t>Engagements courants</t>
  </si>
  <si>
    <t>Engagements financiers à court terme</t>
  </si>
  <si>
    <t>de cela 2016</t>
  </si>
  <si>
    <t>Instruments financiers dérivés</t>
  </si>
  <si>
    <t>Passifs de régularisation</t>
  </si>
  <si>
    <t>Provisions à court terme</t>
  </si>
  <si>
    <t>Capitaux de tiers à long terme</t>
  </si>
  <si>
    <t>Engagements financiers à long terme</t>
  </si>
  <si>
    <t>de cela 2068</t>
  </si>
  <si>
    <t>Subventions d'investissements inscrites au passif</t>
  </si>
  <si>
    <t>Provisions à long terme</t>
  </si>
  <si>
    <t>Engagements envers les financements spéciaux et des fonds des Capitaux de tiers</t>
  </si>
  <si>
    <t>Capital propre</t>
  </si>
  <si>
    <t>de cela   299</t>
  </si>
  <si>
    <t>Excédent du bilan (- Découvert du bilan)</t>
  </si>
  <si>
    <t>Passif</t>
  </si>
  <si>
    <t>INDICATEURS FINANCIERS                                                              1000 frs.</t>
  </si>
  <si>
    <t>MCH2-Tableau 18.23</t>
  </si>
  <si>
    <t>MCH2-Tableau 18.8</t>
  </si>
  <si>
    <t>Taux d'autofinancement</t>
  </si>
  <si>
    <t>MCH2-Tableau 18.2</t>
  </si>
  <si>
    <t>Degré d'autofinancement incl. emprunts et participations de la compte des investissements</t>
  </si>
  <si>
    <t>Degré d'autofinancement sauf emprunts et participations de la compte des investissements</t>
  </si>
  <si>
    <t>Invest. net - Autofinancement</t>
  </si>
  <si>
    <t>Financement incl. emprunts et participations de la compte des investissements</t>
  </si>
  <si>
    <t>Invest. net sauf empr. &amp;particip.- Autofinanc.</t>
  </si>
  <si>
    <t>Financement sauf emprunts et participations de la compte des investissements</t>
  </si>
  <si>
    <t>MCH2-Tableau 18.10</t>
  </si>
  <si>
    <t>Dettes brutes</t>
  </si>
  <si>
    <t>MCH2-Tableau 18.4</t>
  </si>
  <si>
    <t>Dettes brutes par rapport aux revenus</t>
  </si>
  <si>
    <t>MCH2-Tableau 18.20</t>
  </si>
  <si>
    <t>Dette nette I</t>
  </si>
  <si>
    <t>MCH2-Tableau 18.21</t>
  </si>
  <si>
    <t>Dette nette II</t>
  </si>
  <si>
    <t>MCH2-Tableau 18.7</t>
  </si>
  <si>
    <t>Dette nette 1 en francs et par habitant</t>
  </si>
  <si>
    <t>Dette nette 2 en francs et par habitant</t>
  </si>
  <si>
    <t>MCH2-Tableau 18.1</t>
  </si>
  <si>
    <t>Taux d'endettement net</t>
  </si>
  <si>
    <t>GN 29</t>
  </si>
  <si>
    <t>capital propre</t>
  </si>
  <si>
    <t>GN 299  en % de charge courant</t>
  </si>
  <si>
    <t>Degré de couverture du capital propre</t>
  </si>
  <si>
    <t>MCH2-Tableau 18.5</t>
  </si>
  <si>
    <t>Part du service de la dette</t>
  </si>
  <si>
    <t>GN 44 - GN 34</t>
  </si>
  <si>
    <t>Resultat provenant de financement</t>
  </si>
  <si>
    <t>Revenus PF ein % du GN 10</t>
  </si>
  <si>
    <t>Rendements bruts du patrimoine financier</t>
  </si>
  <si>
    <t>MCH2-Tableau 18.22</t>
  </si>
  <si>
    <t>Charges d'intérêts nets</t>
  </si>
  <si>
    <t>MCH2-Tableau 18.3</t>
  </si>
  <si>
    <t>Part des charges d'intérêts</t>
  </si>
  <si>
    <t>MCH2-Tableau 18.9</t>
  </si>
  <si>
    <t>Investissements bruts</t>
  </si>
  <si>
    <t>MCH2-Tableau 18.13</t>
  </si>
  <si>
    <t>Resettes d'investissement</t>
  </si>
  <si>
    <t>Proportion des investissements</t>
  </si>
  <si>
    <t>STATISTIC</t>
  </si>
  <si>
    <t>MCH2-Tableau 18.24</t>
  </si>
  <si>
    <t>Population résident permanente à la fin de l'année</t>
  </si>
  <si>
    <t>Chiffres-clés</t>
  </si>
  <si>
    <t>MCH2-Tableau 18.18</t>
  </si>
  <si>
    <t>Revenus courants</t>
  </si>
  <si>
    <t>MCH2-Tableau 18.16</t>
  </si>
  <si>
    <t>Charges courantes</t>
  </si>
  <si>
    <t>Charges totales</t>
  </si>
  <si>
    <t>MCH2-Tableau 18.14</t>
  </si>
  <si>
    <t>Service de la dette</t>
  </si>
  <si>
    <r>
      <t>Compte financière</t>
    </r>
    <r>
      <rPr>
        <sz val="10"/>
        <rFont val="Arial Narrow"/>
        <family val="2"/>
      </rPr>
      <t xml:space="preserve">
MCH2-Tableau 18.17</t>
    </r>
  </si>
  <si>
    <t>Recettes courantes</t>
  </si>
  <si>
    <t>MCH2-Tableau 18.12</t>
  </si>
  <si>
    <t>Recettes totales</t>
  </si>
  <si>
    <t>MCH2-Tableau 18.15</t>
  </si>
  <si>
    <t>MCH2-Tableau 18.11</t>
  </si>
  <si>
    <t>Dépenses totales</t>
  </si>
  <si>
    <t>Résultat compte financière courante</t>
  </si>
  <si>
    <t>Résultat compte financière totales</t>
  </si>
  <si>
    <t>GR</t>
  </si>
  <si>
    <t>GL</t>
  </si>
  <si>
    <t>decela 2016</t>
  </si>
  <si>
    <t>FR</t>
  </si>
  <si>
    <t>en 1000 frs.</t>
  </si>
  <si>
    <t>Revenus d'exploitation divers</t>
  </si>
  <si>
    <t>Charges pour biensfonds, patrimoine financier</t>
  </si>
  <si>
    <t>BILAN</t>
  </si>
  <si>
    <t>BS</t>
  </si>
  <si>
    <t>Basel Stadt</t>
  </si>
  <si>
    <t>Bemerkungen:</t>
  </si>
  <si>
    <t>Budget 2013: Gemäss Bevölkerungsprognose Basel-Stadt 2012, Mittleres Szenario, Statistisches Amt des Kantons Basel-Stadt</t>
  </si>
  <si>
    <t>BL</t>
  </si>
  <si>
    <t>Basel Land</t>
  </si>
  <si>
    <t>AR</t>
  </si>
  <si>
    <t>Appenzell Ausserrhoden</t>
  </si>
  <si>
    <t>HRM2-Tabelle 18.6</t>
  </si>
  <si>
    <t>MCH2-Tableau 18.6</t>
  </si>
  <si>
    <t>Dépenses courantes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</si>
</sst>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General_)"/>
    <numFmt numFmtId="165" formatCode="0.0%"/>
    <numFmt numFmtId="166" formatCode="#,##0;\-\ #,##0"/>
    <numFmt numFmtId="167" formatCode="0.0%;[Red]\-0.0%"/>
    <numFmt numFmtId="168" formatCode="#"/>
    <numFmt numFmtId="169" formatCode="#,##0_ ;[Red]\-#,##0\ "/>
    <numFmt numFmtId="170" formatCode="_ * #,##0_ ;_ * \-#,##0_ ;_ * &quot;-&quot;??_ ;_ @_ "/>
    <numFmt numFmtId="171" formatCode="_ * #,##0_ ;[Red]_ * \-#,##0_ ;_ * &quot;-&quot;??_ ;_ @_ "/>
    <numFmt numFmtId="172" formatCode="0.0%;\ \-0.0%;\ * &quot;-&quot;??_;"/>
    <numFmt numFmtId="173" formatCode="#\ ###\ ##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/>
      <top style="hair"/>
      <bottom style="hair"/>
    </border>
    <border>
      <left style="hair"/>
      <right style="double"/>
      <top/>
      <bottom/>
    </border>
    <border>
      <left style="hair"/>
      <right style="double"/>
      <top style="thin"/>
      <bottom/>
    </border>
    <border>
      <left style="hair"/>
      <right style="double"/>
      <top style="hair"/>
      <bottom style="hair"/>
    </border>
    <border>
      <left style="hair"/>
      <right style="hair"/>
      <top/>
      <bottom style="hair"/>
    </border>
    <border>
      <left style="double"/>
      <right style="hair"/>
      <top/>
      <bottom style="hair"/>
    </border>
    <border>
      <left/>
      <right style="double"/>
      <top style="double"/>
      <bottom/>
    </border>
    <border>
      <left style="double"/>
      <right/>
      <top style="double"/>
      <bottom/>
    </border>
    <border>
      <left style="double"/>
      <right/>
      <top style="thin"/>
      <bottom/>
    </border>
    <border>
      <left style="double"/>
      <right/>
      <top style="thin"/>
      <bottom style="thin"/>
    </border>
    <border>
      <left style="double"/>
      <right/>
      <top/>
      <bottom style="thin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hair"/>
    </border>
    <border>
      <left style="hair"/>
      <right/>
      <top/>
      <bottom style="hair"/>
    </border>
  </borders>
  <cellStyleXfs count="9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16" fillId="21" borderId="0" applyNumberFormat="0" applyBorder="0" applyAlignment="0" applyProtection="0"/>
    <xf numFmtId="0" fontId="55" fillId="22" borderId="0" applyNumberFormat="0" applyBorder="0" applyAlignment="0" applyProtection="0"/>
    <xf numFmtId="0" fontId="16" fillId="23" borderId="0" applyNumberFormat="0" applyBorder="0" applyAlignment="0" applyProtection="0"/>
    <xf numFmtId="0" fontId="55" fillId="24" borderId="0" applyNumberFormat="0" applyBorder="0" applyAlignment="0" applyProtection="0"/>
    <xf numFmtId="0" fontId="16" fillId="25" borderId="0" applyNumberFormat="0" applyBorder="0" applyAlignment="0" applyProtection="0"/>
    <xf numFmtId="0" fontId="55" fillId="26" borderId="0" applyNumberFormat="0" applyBorder="0" applyAlignment="0" applyProtection="0"/>
    <xf numFmtId="0" fontId="16" fillId="27" borderId="0" applyNumberFormat="0" applyBorder="0" applyAlignment="0" applyProtection="0"/>
    <xf numFmtId="0" fontId="55" fillId="28" borderId="0" applyNumberFormat="0" applyBorder="0" applyAlignment="0" applyProtection="0"/>
    <xf numFmtId="0" fontId="16" fillId="29" borderId="0" applyNumberFormat="0" applyBorder="0" applyAlignment="0" applyProtection="0"/>
    <xf numFmtId="0" fontId="55" fillId="30" borderId="0" applyNumberFormat="0" applyBorder="0" applyAlignment="0" applyProtection="0"/>
    <xf numFmtId="0" fontId="16" fillId="31" borderId="0" applyNumberFormat="0" applyBorder="0" applyAlignment="0" applyProtection="0"/>
    <xf numFmtId="0" fontId="56" fillId="32" borderId="1" applyNumberFormat="0" applyAlignment="0" applyProtection="0"/>
    <xf numFmtId="0" fontId="17" fillId="33" borderId="2" applyNumberFormat="0" applyAlignment="0" applyProtection="0"/>
    <xf numFmtId="0" fontId="57" fillId="32" borderId="3" applyNumberFormat="0" applyAlignment="0" applyProtection="0"/>
    <xf numFmtId="0" fontId="18" fillId="33" borderId="4" applyNumberFormat="0" applyAlignment="0" applyProtection="0"/>
    <xf numFmtId="4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4" borderId="3" applyNumberFormat="0" applyAlignment="0" applyProtection="0"/>
    <xf numFmtId="0" fontId="19" fillId="35" borderId="4" applyNumberFormat="0" applyAlignment="0" applyProtection="0"/>
    <xf numFmtId="0" fontId="59" fillId="0" borderId="5" applyNumberFormat="0" applyFill="0" applyAlignment="0" applyProtection="0"/>
    <xf numFmtId="0" fontId="2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22" fillId="37" borderId="0" applyNumberFormat="0" applyBorder="0" applyAlignment="0" applyProtection="0"/>
    <xf numFmtId="43" fontId="0" fillId="0" borderId="0" applyFont="0" applyFill="0" applyBorder="0" applyAlignment="0" applyProtection="0"/>
    <xf numFmtId="0" fontId="62" fillId="38" borderId="0" applyNumberFormat="0" applyBorder="0" applyAlignment="0" applyProtection="0"/>
    <xf numFmtId="0" fontId="23" fillId="39" borderId="0" applyNumberFormat="0" applyBorder="0" applyAlignment="0" applyProtection="0"/>
    <xf numFmtId="0" fontId="2" fillId="0" borderId="0">
      <alignment/>
      <protection/>
    </xf>
    <xf numFmtId="0" fontId="0" fillId="40" borderId="7" applyNumberFormat="0" applyFont="0" applyAlignment="0" applyProtection="0"/>
    <xf numFmtId="0" fontId="0" fillId="41" borderId="8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42" borderId="0" applyNumberFormat="0" applyBorder="0" applyAlignment="0" applyProtection="0"/>
    <xf numFmtId="0" fontId="24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73" fontId="12" fillId="0" borderId="9" applyBorder="0" applyAlignment="0">
      <protection/>
    </xf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26" fillId="0" borderId="11" applyNumberFormat="0" applyFill="0" applyAlignment="0" applyProtection="0"/>
    <xf numFmtId="0" fontId="66" fillId="0" borderId="12" applyNumberFormat="0" applyFill="0" applyAlignment="0" applyProtection="0"/>
    <xf numFmtId="0" fontId="27" fillId="0" borderId="13" applyNumberFormat="0" applyFill="0" applyAlignment="0" applyProtection="0"/>
    <xf numFmtId="0" fontId="67" fillId="0" borderId="14" applyNumberFormat="0" applyFill="0" applyAlignment="0" applyProtection="0"/>
    <xf numFmtId="0" fontId="28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8" fillId="0" borderId="16" applyNumberFormat="0" applyFill="0" applyAlignment="0" applyProtection="0"/>
    <xf numFmtId="0" fontId="3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0" fillId="44" borderId="18" applyNumberFormat="0" applyAlignment="0" applyProtection="0"/>
    <xf numFmtId="0" fontId="32" fillId="45" borderId="19" applyNumberFormat="0" applyAlignment="0" applyProtection="0"/>
  </cellStyleXfs>
  <cellXfs count="61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Alignment="1" applyProtection="1">
      <alignment horizontal="left" vertical="center"/>
      <protection/>
    </xf>
    <xf numFmtId="164" fontId="0" fillId="0" borderId="0" xfId="0" applyFont="1" applyAlignment="1" applyProtection="1">
      <alignment horizontal="right" vertical="center"/>
      <protection/>
    </xf>
    <xf numFmtId="164" fontId="0" fillId="0" borderId="0" xfId="0" applyFont="1" applyAlignment="1">
      <alignment vertical="center"/>
    </xf>
    <xf numFmtId="164" fontId="0" fillId="0" borderId="20" xfId="0" applyFont="1" applyBorder="1" applyAlignment="1" applyProtection="1">
      <alignment horizontal="left" vertical="center"/>
      <protection/>
    </xf>
    <xf numFmtId="164" fontId="3" fillId="0" borderId="21" xfId="0" applyFont="1" applyBorder="1" applyAlignment="1" applyProtection="1">
      <alignment horizontal="left" vertical="center"/>
      <protection/>
    </xf>
    <xf numFmtId="164" fontId="0" fillId="0" borderId="21" xfId="0" applyFont="1" applyBorder="1" applyAlignment="1" applyProtection="1">
      <alignment horizontal="right" vertical="center"/>
      <protection/>
    </xf>
    <xf numFmtId="164" fontId="0" fillId="0" borderId="22" xfId="0" applyFont="1" applyBorder="1" applyAlignment="1">
      <alignment vertical="center"/>
    </xf>
    <xf numFmtId="164" fontId="0" fillId="0" borderId="21" xfId="0" applyFont="1" applyBorder="1" applyAlignment="1" applyProtection="1">
      <alignment horizontal="left" vertical="center"/>
      <protection/>
    </xf>
    <xf numFmtId="166" fontId="0" fillId="0" borderId="21" xfId="0" applyNumberFormat="1" applyFont="1" applyBorder="1" applyAlignment="1" applyProtection="1">
      <alignment vertical="center"/>
      <protection/>
    </xf>
    <xf numFmtId="165" fontId="0" fillId="0" borderId="21" xfId="0" applyNumberFormat="1" applyFont="1" applyBorder="1" applyAlignment="1" applyProtection="1">
      <alignment vertical="center"/>
      <protection/>
    </xf>
    <xf numFmtId="166" fontId="0" fillId="0" borderId="23" xfId="0" applyNumberFormat="1" applyFont="1" applyBorder="1" applyAlignment="1" applyProtection="1">
      <alignment vertical="center"/>
      <protection/>
    </xf>
    <xf numFmtId="164" fontId="0" fillId="0" borderId="22" xfId="0" applyFont="1" applyBorder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 horizontal="left"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166" fontId="0" fillId="0" borderId="24" xfId="0" applyNumberFormat="1" applyFont="1" applyBorder="1" applyAlignment="1" applyProtection="1">
      <alignment vertical="center"/>
      <protection/>
    </xf>
    <xf numFmtId="164" fontId="0" fillId="0" borderId="25" xfId="0" applyFont="1" applyBorder="1" applyAlignment="1" applyProtection="1">
      <alignment horizontal="left" vertical="center"/>
      <protection/>
    </xf>
    <xf numFmtId="164" fontId="0" fillId="0" borderId="26" xfId="0" applyFont="1" applyBorder="1" applyAlignment="1" applyProtection="1">
      <alignment horizontal="left" vertical="center"/>
      <protection/>
    </xf>
    <xf numFmtId="166" fontId="0" fillId="0" borderId="26" xfId="0" applyNumberFormat="1" applyFont="1" applyBorder="1" applyAlignment="1" applyProtection="1">
      <alignment vertical="center"/>
      <protection/>
    </xf>
    <xf numFmtId="166" fontId="0" fillId="0" borderId="27" xfId="0" applyNumberFormat="1" applyFont="1" applyBorder="1" applyAlignment="1" applyProtection="1">
      <alignment vertical="center"/>
      <protection/>
    </xf>
    <xf numFmtId="164" fontId="3" fillId="0" borderId="28" xfId="0" applyFont="1" applyBorder="1" applyAlignment="1" applyProtection="1">
      <alignment horizontal="left" vertical="center"/>
      <protection/>
    </xf>
    <xf numFmtId="164" fontId="3" fillId="0" borderId="29" xfId="0" applyFont="1" applyBorder="1" applyAlignment="1" applyProtection="1">
      <alignment horizontal="left" vertical="center"/>
      <protection/>
    </xf>
    <xf numFmtId="166" fontId="3" fillId="0" borderId="29" xfId="0" applyNumberFormat="1" applyFont="1" applyBorder="1" applyAlignment="1" applyProtection="1">
      <alignment vertical="center"/>
      <protection/>
    </xf>
    <xf numFmtId="165" fontId="0" fillId="0" borderId="29" xfId="0" applyNumberFormat="1" applyFont="1" applyBorder="1" applyAlignment="1" applyProtection="1">
      <alignment vertical="center"/>
      <protection/>
    </xf>
    <xf numFmtId="166" fontId="3" fillId="0" borderId="30" xfId="0" applyNumberFormat="1" applyFont="1" applyBorder="1" applyAlignment="1" applyProtection="1">
      <alignment vertical="center"/>
      <protection/>
    </xf>
    <xf numFmtId="164" fontId="0" fillId="0" borderId="20" xfId="0" applyFont="1" applyBorder="1" applyAlignment="1">
      <alignment vertical="center"/>
    </xf>
    <xf numFmtId="164" fontId="0" fillId="0" borderId="21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25" xfId="0" applyFont="1" applyBorder="1" applyAlignment="1">
      <alignment vertical="center"/>
    </xf>
    <xf numFmtId="164" fontId="0" fillId="0" borderId="26" xfId="0" applyFont="1" applyBorder="1" applyAlignment="1">
      <alignment vertical="center"/>
    </xf>
    <xf numFmtId="164" fontId="3" fillId="46" borderId="0" xfId="0" applyFont="1" applyFill="1" applyAlignment="1">
      <alignment vertical="center"/>
    </xf>
    <xf numFmtId="166" fontId="3" fillId="46" borderId="0" xfId="0" applyNumberFormat="1" applyFont="1" applyFill="1" applyAlignment="1" applyProtection="1">
      <alignment vertical="center"/>
      <protection/>
    </xf>
    <xf numFmtId="166" fontId="3" fillId="46" borderId="0" xfId="0" applyNumberFormat="1" applyFont="1" applyFill="1" applyBorder="1" applyAlignment="1" applyProtection="1">
      <alignment vertical="center"/>
      <protection/>
    </xf>
    <xf numFmtId="166" fontId="3" fillId="46" borderId="24" xfId="0" applyNumberFormat="1" applyFont="1" applyFill="1" applyBorder="1" applyAlignment="1" applyProtection="1">
      <alignment vertical="center"/>
      <protection/>
    </xf>
    <xf numFmtId="164" fontId="3" fillId="46" borderId="25" xfId="0" applyFont="1" applyFill="1" applyBorder="1" applyAlignment="1">
      <alignment vertical="center"/>
    </xf>
    <xf numFmtId="164" fontId="3" fillId="46" borderId="26" xfId="0" applyFont="1" applyFill="1" applyBorder="1" applyAlignment="1">
      <alignment vertical="center"/>
    </xf>
    <xf numFmtId="166" fontId="3" fillId="46" borderId="26" xfId="0" applyNumberFormat="1" applyFont="1" applyFill="1" applyBorder="1" applyAlignment="1" applyProtection="1">
      <alignment vertical="center"/>
      <protection/>
    </xf>
    <xf numFmtId="165" fontId="3" fillId="46" borderId="26" xfId="0" applyNumberFormat="1" applyFont="1" applyFill="1" applyBorder="1" applyAlignment="1" applyProtection="1">
      <alignment vertical="center"/>
      <protection/>
    </xf>
    <xf numFmtId="166" fontId="3" fillId="46" borderId="27" xfId="0" applyNumberFormat="1" applyFont="1" applyFill="1" applyBorder="1" applyAlignment="1" applyProtection="1">
      <alignment vertical="center"/>
      <protection/>
    </xf>
    <xf numFmtId="165" fontId="0" fillId="0" borderId="26" xfId="0" applyNumberFormat="1" applyFont="1" applyBorder="1" applyAlignment="1">
      <alignment vertical="center"/>
    </xf>
    <xf numFmtId="165" fontId="0" fillId="0" borderId="27" xfId="0" applyNumberFormat="1" applyFont="1" applyBorder="1" applyAlignment="1">
      <alignment vertical="center"/>
    </xf>
    <xf numFmtId="165" fontId="0" fillId="0" borderId="0" xfId="0" applyNumberFormat="1" applyFont="1" applyBorder="1" applyAlignment="1" applyProtection="1">
      <alignment horizontal="right" vertical="center"/>
      <protection/>
    </xf>
    <xf numFmtId="164" fontId="4" fillId="0" borderId="0" xfId="0" applyFont="1" applyBorder="1" applyAlignment="1">
      <alignment horizontal="right" vertical="center"/>
    </xf>
    <xf numFmtId="164" fontId="4" fillId="0" borderId="26" xfId="0" applyFont="1" applyBorder="1" applyAlignment="1">
      <alignment horizontal="right" vertical="center"/>
    </xf>
    <xf numFmtId="37" fontId="5" fillId="0" borderId="0" xfId="0" applyNumberFormat="1" applyFont="1" applyBorder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0" fillId="0" borderId="0" xfId="0" applyFont="1" applyBorder="1" applyAlignment="1">
      <alignment horizontal="right" vertical="center"/>
    </xf>
    <xf numFmtId="164" fontId="3" fillId="46" borderId="22" xfId="0" applyFont="1" applyFill="1" applyBorder="1" applyAlignment="1" quotePrefix="1">
      <alignment vertical="center"/>
    </xf>
    <xf numFmtId="164" fontId="3" fillId="0" borderId="28" xfId="0" applyFont="1" applyBorder="1" applyAlignment="1">
      <alignment vertical="center"/>
    </xf>
    <xf numFmtId="164" fontId="3" fillId="0" borderId="29" xfId="0" applyFont="1" applyBorder="1" applyAlignment="1">
      <alignment vertical="center"/>
    </xf>
    <xf numFmtId="165" fontId="3" fillId="0" borderId="21" xfId="0" applyNumberFormat="1" applyFont="1" applyBorder="1" applyAlignment="1" applyProtection="1">
      <alignment vertical="center"/>
      <protection/>
    </xf>
    <xf numFmtId="165" fontId="3" fillId="0" borderId="29" xfId="0" applyNumberFormat="1" applyFont="1" applyBorder="1" applyAlignment="1" applyProtection="1">
      <alignment vertic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right" vertical="center"/>
    </xf>
    <xf numFmtId="164" fontId="3" fillId="0" borderId="21" xfId="0" applyFont="1" applyBorder="1" applyAlignment="1" applyProtection="1">
      <alignment horizontal="right" vertical="center"/>
      <protection/>
    </xf>
    <xf numFmtId="164" fontId="3" fillId="0" borderId="23" xfId="0" applyFont="1" applyBorder="1" applyAlignment="1" applyProtection="1">
      <alignment horizontal="right" vertical="center"/>
      <protection/>
    </xf>
    <xf numFmtId="164" fontId="0" fillId="0" borderId="22" xfId="0" applyFont="1" applyBorder="1" applyAlignment="1" quotePrefix="1">
      <alignment vertical="center"/>
    </xf>
    <xf numFmtId="164" fontId="4" fillId="0" borderId="26" xfId="0" applyFont="1" applyBorder="1" applyAlignment="1" quotePrefix="1">
      <alignment horizontal="right" vertical="center"/>
    </xf>
    <xf numFmtId="164" fontId="4" fillId="0" borderId="21" xfId="0" applyFont="1" applyBorder="1" applyAlignment="1">
      <alignment horizontal="centerContinuous" vertical="center"/>
    </xf>
    <xf numFmtId="164" fontId="5" fillId="0" borderId="21" xfId="0" applyFont="1" applyBorder="1" applyAlignment="1">
      <alignment horizontal="centerContinuous" vertical="center"/>
    </xf>
    <xf numFmtId="37" fontId="5" fillId="0" borderId="21" xfId="0" applyNumberFormat="1" applyFont="1" applyBorder="1" applyAlignment="1">
      <alignment vertical="center"/>
    </xf>
    <xf numFmtId="165" fontId="5" fillId="0" borderId="0" xfId="0" applyNumberFormat="1" applyFont="1" applyBorder="1" applyAlignment="1" quotePrefix="1">
      <alignment horizontal="right" vertical="center"/>
    </xf>
    <xf numFmtId="38" fontId="0" fillId="0" borderId="0" xfId="49" applyNumberFormat="1" applyFont="1" applyAlignment="1">
      <alignment horizontal="right" vertical="center"/>
    </xf>
    <xf numFmtId="165" fontId="0" fillId="0" borderId="26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164" fontId="3" fillId="0" borderId="0" xfId="0" applyFont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3" fillId="0" borderId="24" xfId="0" applyFont="1" applyBorder="1" applyAlignment="1" applyProtection="1">
      <alignment horizontal="right" vertical="center"/>
      <protection/>
    </xf>
    <xf numFmtId="164" fontId="0" fillId="0" borderId="0" xfId="0" applyAlignment="1">
      <alignment horizontal="right"/>
    </xf>
    <xf numFmtId="164" fontId="5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8" fontId="3" fillId="0" borderId="31" xfId="0" applyNumberFormat="1" applyFont="1" applyBorder="1" applyAlignment="1">
      <alignment horizontal="right" vertical="center"/>
    </xf>
    <xf numFmtId="164" fontId="0" fillId="0" borderId="0" xfId="0" applyBorder="1" applyAlignment="1">
      <alignment horizontal="right"/>
    </xf>
    <xf numFmtId="164" fontId="8" fillId="0" borderId="32" xfId="0" applyFont="1" applyBorder="1" applyAlignment="1">
      <alignment horizontal="left" vertical="center"/>
    </xf>
    <xf numFmtId="38" fontId="4" fillId="0" borderId="0" xfId="0" applyNumberFormat="1" applyFont="1" applyBorder="1" applyAlignment="1">
      <alignment horizontal="right" vertical="center"/>
    </xf>
    <xf numFmtId="38" fontId="3" fillId="0" borderId="33" xfId="0" applyNumberFormat="1" applyFont="1" applyBorder="1" applyAlignment="1">
      <alignment horizontal="right" vertical="center"/>
    </xf>
    <xf numFmtId="164" fontId="5" fillId="0" borderId="0" xfId="0" applyFont="1" applyBorder="1" applyAlignment="1">
      <alignment horizontal="right" vertical="center"/>
    </xf>
    <xf numFmtId="164" fontId="7" fillId="0" borderId="0" xfId="0" applyFont="1" applyBorder="1" applyAlignment="1">
      <alignment horizontal="right" vertical="center"/>
    </xf>
    <xf numFmtId="164" fontId="0" fillId="0" borderId="0" xfId="0" applyBorder="1" applyAlignment="1">
      <alignment horizontal="right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0" xfId="49" applyNumberFormat="1" applyFont="1" applyBorder="1" applyAlignment="1">
      <alignment horizontal="right" vertical="center"/>
    </xf>
    <xf numFmtId="37" fontId="5" fillId="0" borderId="0" xfId="0" applyNumberFormat="1" applyFont="1" applyBorder="1" applyAlignment="1">
      <alignment horizontal="right"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Alignment="1">
      <alignment horizontal="left"/>
    </xf>
    <xf numFmtId="38" fontId="5" fillId="0" borderId="0" xfId="0" applyNumberFormat="1" applyFont="1" applyAlignment="1">
      <alignment horizontal="right" vertical="center"/>
    </xf>
    <xf numFmtId="38" fontId="0" fillId="0" borderId="0" xfId="0" applyNumberFormat="1" applyFont="1" applyAlignment="1">
      <alignment horizontal="right" vertical="center"/>
    </xf>
    <xf numFmtId="164" fontId="0" fillId="0" borderId="0" xfId="0" applyFont="1" applyAlignment="1">
      <alignment horizontal="left" vertical="center"/>
    </xf>
    <xf numFmtId="38" fontId="0" fillId="0" borderId="0" xfId="0" applyNumberFormat="1" applyAlignment="1">
      <alignment horizontal="right"/>
    </xf>
    <xf numFmtId="38" fontId="5" fillId="0" borderId="0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5" fillId="0" borderId="0" xfId="49" applyNumberFormat="1" applyFont="1" applyAlignment="1">
      <alignment horizontal="right" vertic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0" fillId="0" borderId="0" xfId="49" applyNumberFormat="1" applyFont="1" applyAlignment="1">
      <alignment horizontal="right"/>
    </xf>
    <xf numFmtId="38" fontId="5" fillId="0" borderId="0" xfId="0" applyNumberFormat="1" applyFont="1" applyAlignment="1">
      <alignment horizontal="right" vertical="center"/>
    </xf>
    <xf numFmtId="38" fontId="5" fillId="0" borderId="0" xfId="0" applyNumberFormat="1" applyFont="1" applyAlignment="1">
      <alignment horizontal="right"/>
    </xf>
    <xf numFmtId="164" fontId="5" fillId="0" borderId="34" xfId="0" applyFont="1" applyBorder="1" applyAlignment="1">
      <alignment horizontal="left" vertical="center"/>
    </xf>
    <xf numFmtId="38" fontId="5" fillId="0" borderId="35" xfId="0" applyNumberFormat="1" applyFont="1" applyBorder="1" applyAlignment="1">
      <alignment horizontal="right" vertical="center"/>
    </xf>
    <xf numFmtId="164" fontId="0" fillId="0" borderId="36" xfId="0" applyFont="1" applyBorder="1" applyAlignment="1">
      <alignment horizontal="left" vertical="center"/>
    </xf>
    <xf numFmtId="38" fontId="5" fillId="0" borderId="37" xfId="0" applyNumberFormat="1" applyFont="1" applyBorder="1" applyAlignment="1">
      <alignment horizontal="right" vertical="center"/>
    </xf>
    <xf numFmtId="38" fontId="7" fillId="0" borderId="38" xfId="0" applyNumberFormat="1" applyFont="1" applyBorder="1" applyAlignment="1">
      <alignment horizontal="right" vertical="center"/>
    </xf>
    <xf numFmtId="164" fontId="5" fillId="0" borderId="39" xfId="0" applyFont="1" applyBorder="1" applyAlignment="1">
      <alignment horizontal="left" vertical="center"/>
    </xf>
    <xf numFmtId="38" fontId="5" fillId="0" borderId="40" xfId="0" applyNumberFormat="1" applyFont="1" applyBorder="1" applyAlignment="1">
      <alignment horizontal="right" vertical="center"/>
    </xf>
    <xf numFmtId="38" fontId="5" fillId="0" borderId="40" xfId="49" applyNumberFormat="1" applyFont="1" applyBorder="1" applyAlignment="1">
      <alignment horizontal="right" vertical="center"/>
    </xf>
    <xf numFmtId="38" fontId="5" fillId="0" borderId="41" xfId="0" applyNumberFormat="1" applyFont="1" applyBorder="1" applyAlignment="1">
      <alignment horizontal="right" vertical="center"/>
    </xf>
    <xf numFmtId="38" fontId="5" fillId="0" borderId="37" xfId="49" applyNumberFormat="1" applyFont="1" applyBorder="1" applyAlignment="1">
      <alignment horizontal="right" vertical="center"/>
    </xf>
    <xf numFmtId="38" fontId="4" fillId="0" borderId="37" xfId="0" applyNumberFormat="1" applyFont="1" applyBorder="1" applyAlignment="1" quotePrefix="1">
      <alignment horizontal="left" vertical="center"/>
    </xf>
    <xf numFmtId="164" fontId="4" fillId="0" borderId="36" xfId="0" applyFont="1" applyBorder="1" applyAlignment="1" quotePrefix="1">
      <alignment horizontal="left" vertical="center"/>
    </xf>
    <xf numFmtId="164" fontId="7" fillId="0" borderId="24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38" fontId="5" fillId="0" borderId="42" xfId="0" applyNumberFormat="1" applyFont="1" applyBorder="1" applyAlignment="1" quotePrefix="1">
      <alignment horizontal="right" vertical="center"/>
    </xf>
    <xf numFmtId="38" fontId="5" fillId="0" borderId="42" xfId="0" applyNumberFormat="1" applyFont="1" applyBorder="1" applyAlignment="1">
      <alignment horizontal="right" vertical="center"/>
    </xf>
    <xf numFmtId="38" fontId="5" fillId="0" borderId="43" xfId="0" applyNumberFormat="1" applyFont="1" applyBorder="1" applyAlignment="1">
      <alignment horizontal="right" vertical="center"/>
    </xf>
    <xf numFmtId="38" fontId="5" fillId="0" borderId="44" xfId="0" applyNumberFormat="1" applyFont="1" applyBorder="1" applyAlignment="1">
      <alignment horizontal="right" vertical="center"/>
    </xf>
    <xf numFmtId="38" fontId="5" fillId="0" borderId="45" xfId="0" applyNumberFormat="1" applyFont="1" applyBorder="1" applyAlignment="1">
      <alignment horizontal="right" vertical="center"/>
    </xf>
    <xf numFmtId="167" fontId="5" fillId="0" borderId="46" xfId="0" applyNumberFormat="1" applyFont="1" applyBorder="1" applyAlignment="1">
      <alignment horizontal="right" vertical="center"/>
    </xf>
    <xf numFmtId="167" fontId="5" fillId="0" borderId="35" xfId="0" applyNumberFormat="1" applyFont="1" applyBorder="1" applyAlignment="1">
      <alignment horizontal="right" vertical="center"/>
    </xf>
    <xf numFmtId="167" fontId="5" fillId="0" borderId="35" xfId="0" applyNumberFormat="1" applyFont="1" applyBorder="1" applyAlignment="1" quotePrefix="1">
      <alignment horizontal="right" vertical="center"/>
    </xf>
    <xf numFmtId="164" fontId="5" fillId="0" borderId="47" xfId="0" applyFont="1" applyBorder="1" applyAlignment="1">
      <alignment horizontal="left" vertical="center"/>
    </xf>
    <xf numFmtId="38" fontId="9" fillId="0" borderId="0" xfId="0" applyNumberFormat="1" applyFont="1" applyBorder="1" applyAlignment="1">
      <alignment horizontal="right" vertical="center"/>
    </xf>
    <xf numFmtId="0" fontId="3" fillId="0" borderId="26" xfId="0" applyNumberFormat="1" applyFont="1" applyBorder="1" applyAlignment="1">
      <alignment horizontal="right" vertical="center"/>
    </xf>
    <xf numFmtId="38" fontId="3" fillId="0" borderId="48" xfId="0" applyNumberFormat="1" applyFont="1" applyBorder="1" applyAlignment="1">
      <alignment horizontal="right" vertical="center"/>
    </xf>
    <xf numFmtId="165" fontId="0" fillId="0" borderId="26" xfId="0" applyNumberFormat="1" applyFont="1" applyBorder="1" applyAlignment="1" applyProtection="1">
      <alignment vertical="center"/>
      <protection/>
    </xf>
    <xf numFmtId="38" fontId="4" fillId="0" borderId="29" xfId="0" applyNumberFormat="1" applyFont="1" applyBorder="1" applyAlignment="1">
      <alignment horizontal="center" vertical="center" wrapText="1"/>
    </xf>
    <xf numFmtId="168" fontId="0" fillId="0" borderId="22" xfId="0" applyNumberFormat="1" applyFont="1" applyBorder="1" applyAlignment="1">
      <alignment vertical="center"/>
    </xf>
    <xf numFmtId="168" fontId="0" fillId="0" borderId="0" xfId="0" applyNumberFormat="1" applyFont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8" fontId="0" fillId="0" borderId="0" xfId="0" applyNumberFormat="1" applyFont="1" applyAlignment="1">
      <alignment vertical="center"/>
    </xf>
    <xf numFmtId="168" fontId="7" fillId="0" borderId="0" xfId="0" applyNumberFormat="1" applyFont="1" applyBorder="1" applyAlignment="1">
      <alignment horizontal="right" vertical="center"/>
    </xf>
    <xf numFmtId="168" fontId="3" fillId="46" borderId="29" xfId="0" applyNumberFormat="1" applyFont="1" applyFill="1" applyBorder="1" applyAlignment="1" applyProtection="1">
      <alignment horizontal="right" vertical="center"/>
      <protection/>
    </xf>
    <xf numFmtId="168" fontId="3" fillId="46" borderId="0" xfId="0" applyNumberFormat="1" applyFont="1" applyFill="1" applyBorder="1" applyAlignment="1" applyProtection="1">
      <alignment vertical="center"/>
      <protection/>
    </xf>
    <xf numFmtId="168" fontId="0" fillId="0" borderId="21" xfId="0" applyNumberFormat="1" applyFont="1" applyBorder="1" applyAlignment="1" applyProtection="1">
      <alignment vertical="center"/>
      <protection/>
    </xf>
    <xf numFmtId="168" fontId="0" fillId="0" borderId="23" xfId="0" applyNumberFormat="1" applyFont="1" applyBorder="1" applyAlignment="1" applyProtection="1">
      <alignment vertical="center"/>
      <protection/>
    </xf>
    <xf numFmtId="168" fontId="0" fillId="0" borderId="20" xfId="0" applyNumberFormat="1" applyFont="1" applyBorder="1" applyAlignment="1">
      <alignment vertical="center"/>
    </xf>
    <xf numFmtId="168" fontId="0" fillId="0" borderId="25" xfId="0" applyNumberFormat="1" applyFont="1" applyBorder="1" applyAlignment="1">
      <alignment vertical="center"/>
    </xf>
    <xf numFmtId="168" fontId="0" fillId="0" borderId="26" xfId="0" applyNumberFormat="1" applyFont="1" applyBorder="1" applyAlignment="1">
      <alignment vertical="center"/>
    </xf>
    <xf numFmtId="168" fontId="0" fillId="0" borderId="0" xfId="0" applyNumberFormat="1" applyFont="1" applyBorder="1" applyAlignment="1" applyProtection="1">
      <alignment vertical="center"/>
      <protection/>
    </xf>
    <xf numFmtId="168" fontId="0" fillId="0" borderId="0" xfId="0" applyNumberFormat="1" applyAlignment="1">
      <alignment/>
    </xf>
    <xf numFmtId="164" fontId="5" fillId="0" borderId="21" xfId="0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vertical="center"/>
    </xf>
    <xf numFmtId="165" fontId="5" fillId="0" borderId="21" xfId="0" applyNumberFormat="1" applyFont="1" applyBorder="1" applyAlignment="1">
      <alignment vertical="center"/>
    </xf>
    <xf numFmtId="164" fontId="0" fillId="0" borderId="0" xfId="0" applyAlignment="1" quotePrefix="1">
      <alignment horizontal="left" vertical="center"/>
    </xf>
    <xf numFmtId="164" fontId="0" fillId="0" borderId="0" xfId="0" applyAlignment="1">
      <alignment horizontal="left" vertical="center"/>
    </xf>
    <xf numFmtId="164" fontId="0" fillId="0" borderId="0" xfId="0" applyAlignment="1" quotePrefix="1">
      <alignment horizontal="left" vertical="center" wrapText="1"/>
    </xf>
    <xf numFmtId="164" fontId="8" fillId="0" borderId="49" xfId="0" applyFont="1" applyBorder="1" applyAlignment="1">
      <alignment horizontal="left" vertical="center"/>
    </xf>
    <xf numFmtId="164" fontId="0" fillId="0" borderId="5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 horizontal="right" vertical="center"/>
    </xf>
    <xf numFmtId="164" fontId="0" fillId="0" borderId="51" xfId="0" applyFont="1" applyBorder="1" applyAlignment="1">
      <alignment vertical="center"/>
    </xf>
    <xf numFmtId="168" fontId="4" fillId="0" borderId="52" xfId="0" applyNumberFormat="1" applyFont="1" applyBorder="1" applyAlignment="1">
      <alignment horizontal="left" vertical="center"/>
    </xf>
    <xf numFmtId="168" fontId="10" fillId="0" borderId="29" xfId="0" applyNumberFormat="1" applyFont="1" applyBorder="1" applyAlignment="1">
      <alignment horizontal="center" vertical="center" wrapText="1" readingOrder="1"/>
    </xf>
    <xf numFmtId="168" fontId="10" fillId="0" borderId="29" xfId="0" applyNumberFormat="1" applyFont="1" applyBorder="1" applyAlignment="1" quotePrefix="1">
      <alignment horizontal="center" vertical="center" wrapText="1"/>
    </xf>
    <xf numFmtId="168" fontId="8" fillId="0" borderId="29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 quotePrefix="1">
      <alignment horizontal="center" vertical="center" wrapText="1"/>
    </xf>
    <xf numFmtId="168" fontId="3" fillId="0" borderId="26" xfId="0" applyNumberFormat="1" applyFont="1" applyBorder="1" applyAlignment="1">
      <alignment horizontal="right" vertical="center"/>
    </xf>
    <xf numFmtId="168" fontId="10" fillId="0" borderId="29" xfId="0" applyNumberFormat="1" applyFont="1" applyBorder="1" applyAlignment="1">
      <alignment horizontal="center" vertical="center" wrapText="1"/>
    </xf>
    <xf numFmtId="168" fontId="4" fillId="0" borderId="29" xfId="0" applyNumberFormat="1" applyFont="1" applyBorder="1" applyAlignment="1">
      <alignment horizontal="center" vertical="center" wrapText="1"/>
    </xf>
    <xf numFmtId="168" fontId="3" fillId="0" borderId="54" xfId="0" applyNumberFormat="1" applyFont="1" applyBorder="1" applyAlignment="1">
      <alignment horizontal="right" vertical="center"/>
    </xf>
    <xf numFmtId="169" fontId="5" fillId="0" borderId="0" xfId="0" applyNumberFormat="1" applyFont="1" applyBorder="1" applyAlignment="1">
      <alignment vertical="center"/>
    </xf>
    <xf numFmtId="169" fontId="5" fillId="0" borderId="26" xfId="0" applyNumberFormat="1" applyFont="1" applyBorder="1" applyAlignment="1">
      <alignment vertical="center"/>
    </xf>
    <xf numFmtId="164" fontId="4" fillId="0" borderId="31" xfId="0" applyFont="1" applyBorder="1" applyAlignment="1">
      <alignment horizontal="right" vertical="center"/>
    </xf>
    <xf numFmtId="164" fontId="4" fillId="0" borderId="49" xfId="0" applyFont="1" applyBorder="1" applyAlignment="1">
      <alignment vertical="center"/>
    </xf>
    <xf numFmtId="164" fontId="4" fillId="0" borderId="32" xfId="0" applyFont="1" applyBorder="1" applyAlignment="1">
      <alignment vertical="center"/>
    </xf>
    <xf numFmtId="164" fontId="4" fillId="0" borderId="52" xfId="0" applyFont="1" applyBorder="1" applyAlignment="1">
      <alignment vertical="center"/>
    </xf>
    <xf numFmtId="164" fontId="5" fillId="0" borderId="50" xfId="0" applyFont="1" applyBorder="1" applyAlignment="1">
      <alignment vertical="center"/>
    </xf>
    <xf numFmtId="164" fontId="5" fillId="0" borderId="32" xfId="0" applyFont="1" applyBorder="1" applyAlignment="1">
      <alignment vertical="center"/>
    </xf>
    <xf numFmtId="164" fontId="4" fillId="0" borderId="48" xfId="0" applyFont="1" applyBorder="1" applyAlignment="1">
      <alignment horizontal="right" vertical="center"/>
    </xf>
    <xf numFmtId="164" fontId="4" fillId="0" borderId="33" xfId="0" applyFont="1" applyBorder="1" applyAlignment="1">
      <alignment horizontal="right" vertical="center"/>
    </xf>
    <xf numFmtId="164" fontId="4" fillId="0" borderId="54" xfId="0" applyFont="1" applyBorder="1" applyAlignment="1">
      <alignment horizontal="right" vertical="center"/>
    </xf>
    <xf numFmtId="164" fontId="5" fillId="0" borderId="55" xfId="0" applyFont="1" applyBorder="1" applyAlignment="1">
      <alignment vertical="center"/>
    </xf>
    <xf numFmtId="165" fontId="5" fillId="0" borderId="33" xfId="0" applyNumberFormat="1" applyFont="1" applyBorder="1" applyAlignment="1">
      <alignment vertical="center"/>
    </xf>
    <xf numFmtId="165" fontId="5" fillId="0" borderId="33" xfId="0" applyNumberFormat="1" applyFont="1" applyBorder="1" applyAlignment="1" quotePrefix="1">
      <alignment horizontal="right" vertical="center"/>
    </xf>
    <xf numFmtId="165" fontId="5" fillId="0" borderId="33" xfId="0" applyNumberFormat="1" applyFont="1" applyBorder="1" applyAlignment="1">
      <alignment horizontal="right" vertical="center"/>
    </xf>
    <xf numFmtId="165" fontId="5" fillId="0" borderId="33" xfId="65" applyNumberFormat="1" applyFont="1" applyBorder="1" applyAlignment="1">
      <alignment horizontal="right" vertical="center"/>
    </xf>
    <xf numFmtId="165" fontId="5" fillId="0" borderId="54" xfId="0" applyNumberFormat="1" applyFont="1" applyBorder="1" applyAlignment="1">
      <alignment vertical="center"/>
    </xf>
    <xf numFmtId="165" fontId="5" fillId="0" borderId="55" xfId="0" applyNumberFormat="1" applyFont="1" applyBorder="1" applyAlignment="1">
      <alignment vertical="center"/>
    </xf>
    <xf numFmtId="168" fontId="0" fillId="0" borderId="56" xfId="0" applyNumberFormat="1" applyFont="1" applyBorder="1" applyAlignment="1">
      <alignment vertical="center"/>
    </xf>
    <xf numFmtId="164" fontId="5" fillId="0" borderId="57" xfId="0" applyFont="1" applyBorder="1" applyAlignment="1">
      <alignment vertical="center"/>
    </xf>
    <xf numFmtId="164" fontId="5" fillId="0" borderId="58" xfId="0" applyFont="1" applyBorder="1" applyAlignment="1">
      <alignment vertical="center"/>
    </xf>
    <xf numFmtId="168" fontId="5" fillId="0" borderId="56" xfId="0" applyNumberFormat="1" applyFont="1" applyBorder="1" applyAlignment="1">
      <alignment vertical="center"/>
    </xf>
    <xf numFmtId="164" fontId="0" fillId="0" borderId="48" xfId="0" applyBorder="1" applyAlignment="1">
      <alignment/>
    </xf>
    <xf numFmtId="164" fontId="4" fillId="0" borderId="33" xfId="0" applyFont="1" applyBorder="1" applyAlignment="1">
      <alignment vertical="center"/>
    </xf>
    <xf numFmtId="164" fontId="7" fillId="0" borderId="55" xfId="0" applyFont="1" applyBorder="1" applyAlignment="1">
      <alignment horizontal="left" vertical="center"/>
    </xf>
    <xf numFmtId="164" fontId="7" fillId="0" borderId="33" xfId="0" applyFont="1" applyBorder="1" applyAlignment="1">
      <alignment horizontal="left" vertical="center"/>
    </xf>
    <xf numFmtId="164" fontId="0" fillId="0" borderId="33" xfId="0" applyBorder="1" applyAlignment="1">
      <alignment/>
    </xf>
    <xf numFmtId="164" fontId="7" fillId="0" borderId="54" xfId="0" applyFont="1" applyBorder="1" applyAlignment="1">
      <alignment horizontal="left" vertical="center"/>
    </xf>
    <xf numFmtId="164" fontId="7" fillId="0" borderId="58" xfId="0" applyFont="1" applyBorder="1" applyAlignment="1">
      <alignment horizontal="left" vertical="center"/>
    </xf>
    <xf numFmtId="164" fontId="0" fillId="0" borderId="22" xfId="0" applyFont="1" applyBorder="1" applyAlignment="1" quotePrefix="1">
      <alignment horizontal="left" vertical="center"/>
    </xf>
    <xf numFmtId="38" fontId="6" fillId="0" borderId="40" xfId="0" applyNumberFormat="1" applyFont="1" applyBorder="1" applyAlignment="1">
      <alignment horizontal="right" vertical="center"/>
    </xf>
    <xf numFmtId="38" fontId="5" fillId="0" borderId="40" xfId="0" applyNumberFormat="1" applyFont="1" applyBorder="1" applyAlignment="1">
      <alignment horizontal="right" vertical="center"/>
    </xf>
    <xf numFmtId="38" fontId="6" fillId="0" borderId="59" xfId="49" applyNumberFormat="1" applyFont="1" applyBorder="1" applyAlignment="1">
      <alignment horizontal="right" vertical="center"/>
    </xf>
    <xf numFmtId="38" fontId="5" fillId="0" borderId="60" xfId="0" applyNumberFormat="1" applyFont="1" applyBorder="1" applyAlignment="1">
      <alignment horizontal="right" vertical="center"/>
    </xf>
    <xf numFmtId="38" fontId="5" fillId="0" borderId="61" xfId="0" applyNumberFormat="1" applyFont="1" applyBorder="1" applyAlignment="1">
      <alignment horizontal="right" vertical="center"/>
    </xf>
    <xf numFmtId="38" fontId="6" fillId="0" borderId="42" xfId="0" applyNumberFormat="1" applyFont="1" applyBorder="1" applyAlignment="1">
      <alignment horizontal="right" vertical="center"/>
    </xf>
    <xf numFmtId="38" fontId="5" fillId="0" borderId="62" xfId="0" applyNumberFormat="1" applyFont="1" applyBorder="1" applyAlignment="1">
      <alignment horizontal="right" vertical="center"/>
    </xf>
    <xf numFmtId="38" fontId="6" fillId="0" borderId="35" xfId="0" applyNumberFormat="1" applyFont="1" applyBorder="1" applyAlignment="1">
      <alignment horizontal="right" vertical="center"/>
    </xf>
    <xf numFmtId="38" fontId="6" fillId="0" borderId="42" xfId="0" applyNumberFormat="1" applyFont="1" applyBorder="1" applyAlignment="1" quotePrefix="1">
      <alignment horizontal="right" vertical="center"/>
    </xf>
    <xf numFmtId="38" fontId="5" fillId="0" borderId="63" xfId="0" applyNumberFormat="1" applyFont="1" applyBorder="1" applyAlignment="1">
      <alignment horizontal="right" vertical="center"/>
    </xf>
    <xf numFmtId="38" fontId="5" fillId="0" borderId="64" xfId="0" applyNumberFormat="1" applyFont="1" applyBorder="1" applyAlignment="1">
      <alignment horizontal="right" vertical="center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7" fontId="6" fillId="0" borderId="46" xfId="0" applyNumberFormat="1" applyFont="1" applyBorder="1" applyAlignment="1">
      <alignment horizontal="right" vertical="center"/>
    </xf>
    <xf numFmtId="167" fontId="5" fillId="0" borderId="62" xfId="0" applyNumberFormat="1" applyFont="1" applyBorder="1" applyAlignment="1">
      <alignment horizontal="right" vertical="center"/>
    </xf>
    <xf numFmtId="167" fontId="5" fillId="0" borderId="61" xfId="0" applyNumberFormat="1" applyFont="1" applyBorder="1" applyAlignment="1">
      <alignment horizontal="right" vertical="center"/>
    </xf>
    <xf numFmtId="167" fontId="6" fillId="0" borderId="35" xfId="0" applyNumberFormat="1" applyFont="1" applyBorder="1" applyAlignment="1">
      <alignment horizontal="right" vertical="center"/>
    </xf>
    <xf numFmtId="167" fontId="5" fillId="0" borderId="61" xfId="0" applyNumberFormat="1" applyFont="1" applyBorder="1" applyAlignment="1" quotePrefix="1">
      <alignment horizontal="right" vertical="center"/>
    </xf>
    <xf numFmtId="167" fontId="6" fillId="0" borderId="35" xfId="0" applyNumberFormat="1" applyFont="1" applyBorder="1" applyAlignment="1" quotePrefix="1">
      <alignment horizontal="right" vertical="center"/>
    </xf>
    <xf numFmtId="167" fontId="5" fillId="0" borderId="62" xfId="0" applyNumberFormat="1" applyFont="1" applyBorder="1" applyAlignment="1" quotePrefix="1">
      <alignment horizontal="right" vertical="center"/>
    </xf>
    <xf numFmtId="167" fontId="5" fillId="0" borderId="65" xfId="0" applyNumberFormat="1" applyFont="1" applyBorder="1" applyAlignment="1">
      <alignment horizontal="right" vertical="center"/>
    </xf>
    <xf numFmtId="167" fontId="6" fillId="0" borderId="65" xfId="0" applyNumberFormat="1" applyFont="1" applyBorder="1" applyAlignment="1">
      <alignment horizontal="right" vertical="center"/>
    </xf>
    <xf numFmtId="167" fontId="5" fillId="0" borderId="66" xfId="0" applyNumberFormat="1" applyFont="1" applyBorder="1" applyAlignment="1">
      <alignment horizontal="right" vertical="center"/>
    </xf>
    <xf numFmtId="164" fontId="8" fillId="0" borderId="20" xfId="0" applyFont="1" applyBorder="1" applyAlignment="1">
      <alignment horizontal="left" vertical="center"/>
    </xf>
    <xf numFmtId="38" fontId="3" fillId="0" borderId="21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164" fontId="8" fillId="0" borderId="22" xfId="0" applyFont="1" applyBorder="1" applyAlignment="1">
      <alignment horizontal="left" vertical="center"/>
    </xf>
    <xf numFmtId="38" fontId="3" fillId="0" borderId="24" xfId="0" applyNumberFormat="1" applyFont="1" applyBorder="1" applyAlignment="1">
      <alignment horizontal="right" vertical="center"/>
    </xf>
    <xf numFmtId="164" fontId="0" fillId="0" borderId="28" xfId="0" applyFont="1" applyBorder="1" applyAlignment="1">
      <alignment horizontal="left" vertical="center"/>
    </xf>
    <xf numFmtId="168" fontId="4" fillId="0" borderId="25" xfId="0" applyNumberFormat="1" applyFont="1" applyBorder="1" applyAlignment="1">
      <alignment horizontal="left" vertical="center"/>
    </xf>
    <xf numFmtId="168" fontId="4" fillId="0" borderId="30" xfId="0" applyNumberFormat="1" applyFont="1" applyBorder="1" applyAlignment="1">
      <alignment horizontal="center" vertical="center" wrapText="1"/>
    </xf>
    <xf numFmtId="164" fontId="5" fillId="0" borderId="67" xfId="0" applyFont="1" applyBorder="1" applyAlignment="1">
      <alignment horizontal="left" vertical="center"/>
    </xf>
    <xf numFmtId="164" fontId="5" fillId="0" borderId="68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right" vertical="center"/>
    </xf>
    <xf numFmtId="165" fontId="5" fillId="0" borderId="63" xfId="0" applyNumberFormat="1" applyFont="1" applyBorder="1" applyAlignment="1">
      <alignment horizontal="right" vertical="center"/>
    </xf>
    <xf numFmtId="167" fontId="5" fillId="0" borderId="63" xfId="0" applyNumberFormat="1" applyFont="1" applyBorder="1" applyAlignment="1">
      <alignment horizontal="right" vertical="center"/>
    </xf>
    <xf numFmtId="167" fontId="5" fillId="0" borderId="64" xfId="0" applyNumberFormat="1" applyFont="1" applyBorder="1" applyAlignment="1">
      <alignment horizontal="right" vertical="center"/>
    </xf>
    <xf numFmtId="164" fontId="3" fillId="0" borderId="0" xfId="0" applyFont="1" applyAlignment="1">
      <alignment horizontal="left" vertical="center"/>
    </xf>
    <xf numFmtId="168" fontId="0" fillId="0" borderId="26" xfId="0" applyNumberFormat="1" applyFont="1" applyBorder="1" applyAlignment="1">
      <alignment horizontal="right" vertical="center"/>
    </xf>
    <xf numFmtId="165" fontId="0" fillId="0" borderId="27" xfId="0" applyNumberFormat="1" applyFont="1" applyBorder="1" applyAlignment="1">
      <alignment horizontal="right" vertical="center"/>
    </xf>
    <xf numFmtId="168" fontId="3" fillId="0" borderId="27" xfId="0" applyNumberFormat="1" applyFont="1" applyBorder="1" applyAlignment="1">
      <alignment horizontal="right" vertical="center"/>
    </xf>
    <xf numFmtId="0" fontId="11" fillId="33" borderId="20" xfId="69" applyFont="1" applyFill="1" applyBorder="1" applyAlignment="1" applyProtection="1">
      <alignment horizontal="centerContinuous"/>
      <protection/>
    </xf>
    <xf numFmtId="0" fontId="11" fillId="33" borderId="21" xfId="69" applyFont="1" applyFill="1" applyBorder="1" applyAlignment="1" applyProtection="1">
      <alignment horizontal="center"/>
      <protection/>
    </xf>
    <xf numFmtId="0" fontId="11" fillId="33" borderId="23" xfId="69" applyFont="1" applyFill="1" applyBorder="1" applyAlignment="1" applyProtection="1">
      <alignment horizontal="left"/>
      <protection/>
    </xf>
    <xf numFmtId="0" fontId="12" fillId="33" borderId="30" xfId="69" applyFont="1" applyFill="1" applyBorder="1" applyAlignment="1" applyProtection="1">
      <alignment horizontal="centerContinuous" vertical="center"/>
      <protection/>
    </xf>
    <xf numFmtId="0" fontId="12" fillId="35" borderId="30" xfId="69" applyFont="1" applyFill="1" applyBorder="1" applyAlignment="1" applyProtection="1">
      <alignment horizontal="center" vertical="center"/>
      <protection/>
    </xf>
    <xf numFmtId="0" fontId="12" fillId="0" borderId="0" xfId="69" applyFont="1" applyAlignment="1" applyProtection="1">
      <alignment vertical="center"/>
      <protection/>
    </xf>
    <xf numFmtId="0" fontId="12" fillId="0" borderId="0" xfId="69" applyFont="1" applyAlignment="1" applyProtection="1">
      <alignment horizontal="centerContinuous" vertical="center"/>
      <protection/>
    </xf>
    <xf numFmtId="0" fontId="12" fillId="33" borderId="25" xfId="69" applyFont="1" applyFill="1" applyBorder="1" applyAlignment="1" applyProtection="1">
      <alignment horizontal="center" vertical="center"/>
      <protection/>
    </xf>
    <xf numFmtId="0" fontId="12" fillId="33" borderId="26" xfId="69" applyFont="1" applyFill="1" applyBorder="1" applyAlignment="1" applyProtection="1">
      <alignment horizontal="center" vertical="center"/>
      <protection/>
    </xf>
    <xf numFmtId="0" fontId="12" fillId="33" borderId="27" xfId="69" applyFont="1" applyFill="1" applyBorder="1" applyAlignment="1" applyProtection="1">
      <alignment horizontal="right" vertical="center"/>
      <protection/>
    </xf>
    <xf numFmtId="0" fontId="12" fillId="33" borderId="27" xfId="69" applyFont="1" applyFill="1" applyBorder="1" applyAlignment="1" applyProtection="1">
      <alignment horizontal="center" vertical="center"/>
      <protection/>
    </xf>
    <xf numFmtId="0" fontId="12" fillId="35" borderId="27" xfId="69" applyFont="1" applyFill="1" applyBorder="1" applyAlignment="1" applyProtection="1">
      <alignment horizontal="center" vertical="center"/>
      <protection/>
    </xf>
    <xf numFmtId="0" fontId="12" fillId="0" borderId="0" xfId="69" applyFont="1" applyAlignment="1" applyProtection="1">
      <alignment horizontal="center" vertical="center"/>
      <protection/>
    </xf>
    <xf numFmtId="0" fontId="13" fillId="0" borderId="0" xfId="69" applyFont="1" applyFill="1" applyProtection="1">
      <alignment/>
      <protection/>
    </xf>
    <xf numFmtId="0" fontId="13" fillId="0" borderId="0" xfId="69" applyFont="1" applyFill="1" applyAlignment="1" applyProtection="1">
      <alignment horizontal="right"/>
      <protection/>
    </xf>
    <xf numFmtId="0" fontId="13" fillId="0" borderId="0" xfId="69" applyFont="1" applyProtection="1">
      <alignment/>
      <protection/>
    </xf>
    <xf numFmtId="0" fontId="12" fillId="47" borderId="0" xfId="69" applyFont="1" applyFill="1" applyAlignment="1" applyProtection="1">
      <alignment horizontal="center"/>
      <protection/>
    </xf>
    <xf numFmtId="1" fontId="13" fillId="37" borderId="69" xfId="69" applyNumberFormat="1" applyFont="1" applyFill="1" applyBorder="1" applyAlignment="1" applyProtection="1">
      <alignment/>
      <protection/>
    </xf>
    <xf numFmtId="1" fontId="13" fillId="37" borderId="40" xfId="69" applyNumberFormat="1" applyFont="1" applyFill="1" applyBorder="1" applyAlignment="1" applyProtection="1">
      <alignment/>
      <protection/>
    </xf>
    <xf numFmtId="0" fontId="13" fillId="37" borderId="40" xfId="69" applyFont="1" applyFill="1" applyBorder="1" applyProtection="1">
      <alignment/>
      <protection/>
    </xf>
    <xf numFmtId="170" fontId="13" fillId="0" borderId="40" xfId="59" applyNumberFormat="1" applyFont="1" applyBorder="1" applyAlignment="1" applyProtection="1">
      <alignment/>
      <protection locked="0"/>
    </xf>
    <xf numFmtId="170" fontId="13" fillId="0" borderId="40" xfId="59" applyNumberFormat="1" applyFont="1" applyBorder="1" applyAlignment="1" applyProtection="1">
      <alignment/>
      <protection/>
    </xf>
    <xf numFmtId="170" fontId="13" fillId="0" borderId="59" xfId="59" applyNumberFormat="1" applyFont="1" applyBorder="1" applyAlignment="1" applyProtection="1">
      <alignment/>
      <protection/>
    </xf>
    <xf numFmtId="0" fontId="13" fillId="0" borderId="0" xfId="69" applyFont="1" applyProtection="1">
      <alignment/>
      <protection locked="0"/>
    </xf>
    <xf numFmtId="1" fontId="13" fillId="37" borderId="70" xfId="69" applyNumberFormat="1" applyFont="1" applyFill="1" applyBorder="1" applyProtection="1">
      <alignment/>
      <protection/>
    </xf>
    <xf numFmtId="1" fontId="13" fillId="37" borderId="35" xfId="69" applyNumberFormat="1" applyFont="1" applyFill="1" applyBorder="1" applyProtection="1">
      <alignment/>
      <protection/>
    </xf>
    <xf numFmtId="0" fontId="13" fillId="37" borderId="35" xfId="69" applyFont="1" applyFill="1" applyBorder="1" applyProtection="1">
      <alignment/>
      <protection/>
    </xf>
    <xf numFmtId="170" fontId="13" fillId="0" borderId="35" xfId="59" applyNumberFormat="1" applyFont="1" applyBorder="1" applyAlignment="1" applyProtection="1">
      <alignment/>
      <protection locked="0"/>
    </xf>
    <xf numFmtId="170" fontId="13" fillId="0" borderId="35" xfId="59" applyNumberFormat="1" applyFont="1" applyFill="1" applyBorder="1" applyAlignment="1" applyProtection="1">
      <alignment wrapText="1"/>
      <protection locked="0"/>
    </xf>
    <xf numFmtId="170" fontId="13" fillId="0" borderId="35" xfId="59" applyNumberFormat="1" applyFont="1" applyFill="1" applyBorder="1" applyAlignment="1" applyProtection="1">
      <alignment/>
      <protection/>
    </xf>
    <xf numFmtId="170" fontId="13" fillId="0" borderId="42" xfId="59" applyNumberFormat="1" applyFont="1" applyBorder="1" applyAlignment="1" applyProtection="1">
      <alignment/>
      <protection/>
    </xf>
    <xf numFmtId="1" fontId="14" fillId="37" borderId="70" xfId="69" applyNumberFormat="1" applyFont="1" applyFill="1" applyBorder="1" applyAlignment="1" applyProtection="1">
      <alignment horizontal="right" vertical="center"/>
      <protection/>
    </xf>
    <xf numFmtId="1" fontId="14" fillId="37" borderId="35" xfId="69" applyNumberFormat="1" applyFont="1" applyFill="1" applyBorder="1" applyProtection="1">
      <alignment/>
      <protection/>
    </xf>
    <xf numFmtId="0" fontId="14" fillId="37" borderId="35" xfId="69" applyFont="1" applyFill="1" applyBorder="1" applyProtection="1">
      <alignment/>
      <protection/>
    </xf>
    <xf numFmtId="170" fontId="14" fillId="0" borderId="35" xfId="59" applyNumberFormat="1" applyFont="1" applyFill="1" applyBorder="1" applyAlignment="1" applyProtection="1">
      <alignment/>
      <protection locked="0"/>
    </xf>
    <xf numFmtId="170" fontId="14" fillId="0" borderId="35" xfId="59" applyNumberFormat="1" applyFont="1" applyFill="1" applyBorder="1" applyAlignment="1" applyProtection="1">
      <alignment/>
      <protection/>
    </xf>
    <xf numFmtId="170" fontId="14" fillId="0" borderId="42" xfId="59" applyNumberFormat="1" applyFont="1" applyFill="1" applyBorder="1" applyAlignment="1" applyProtection="1">
      <alignment/>
      <protection/>
    </xf>
    <xf numFmtId="1" fontId="13" fillId="37" borderId="70" xfId="69" applyNumberFormat="1" applyFont="1" applyFill="1" applyBorder="1" applyAlignment="1" applyProtection="1">
      <alignment horizontal="right"/>
      <protection/>
    </xf>
    <xf numFmtId="170" fontId="13" fillId="0" borderId="35" xfId="59" applyNumberFormat="1" applyFont="1" applyFill="1" applyBorder="1" applyAlignment="1" applyProtection="1">
      <alignment/>
      <protection locked="0"/>
    </xf>
    <xf numFmtId="170" fontId="13" fillId="0" borderId="42" xfId="59" applyNumberFormat="1" applyFont="1" applyFill="1" applyBorder="1" applyAlignment="1" applyProtection="1">
      <alignment/>
      <protection/>
    </xf>
    <xf numFmtId="170" fontId="13" fillId="0" borderId="42" xfId="59" applyNumberFormat="1" applyFont="1" applyFill="1" applyBorder="1" applyAlignment="1" applyProtection="1">
      <alignment/>
      <protection locked="0"/>
    </xf>
    <xf numFmtId="1" fontId="13" fillId="37" borderId="70" xfId="69" applyNumberFormat="1" applyFont="1" applyFill="1" applyBorder="1" applyAlignment="1" applyProtection="1">
      <alignment horizontal="right" vertical="top" wrapText="1"/>
      <protection/>
    </xf>
    <xf numFmtId="1" fontId="13" fillId="37" borderId="35" xfId="69" applyNumberFormat="1" applyFont="1" applyFill="1" applyBorder="1" applyAlignment="1" applyProtection="1">
      <alignment horizontal="right" vertical="top" wrapText="1"/>
      <protection/>
    </xf>
    <xf numFmtId="0" fontId="13" fillId="37" borderId="35" xfId="69" applyFont="1" applyFill="1" applyBorder="1" applyAlignment="1" applyProtection="1">
      <alignment vertical="top" wrapText="1"/>
      <protection/>
    </xf>
    <xf numFmtId="170" fontId="13" fillId="0" borderId="35" xfId="59" applyNumberFormat="1" applyFont="1" applyFill="1" applyBorder="1" applyAlignment="1" applyProtection="1">
      <alignment vertical="top" wrapText="1"/>
      <protection locked="0"/>
    </xf>
    <xf numFmtId="170" fontId="13" fillId="0" borderId="35" xfId="59" applyNumberFormat="1" applyFont="1" applyFill="1" applyBorder="1" applyAlignment="1" applyProtection="1">
      <alignment horizontal="right" vertical="top" wrapText="1"/>
      <protection locked="0"/>
    </xf>
    <xf numFmtId="170" fontId="13" fillId="0" borderId="35" xfId="59" applyNumberFormat="1" applyFont="1" applyFill="1" applyBorder="1" applyAlignment="1" applyProtection="1">
      <alignment horizontal="right" vertical="top" wrapText="1"/>
      <protection/>
    </xf>
    <xf numFmtId="170" fontId="13" fillId="0" borderId="42" xfId="59" applyNumberFormat="1" applyFont="1" applyFill="1" applyBorder="1" applyAlignment="1" applyProtection="1">
      <alignment horizontal="right" vertical="top" wrapText="1"/>
      <protection/>
    </xf>
    <xf numFmtId="0" fontId="14" fillId="0" borderId="0" xfId="69" applyFont="1" applyProtection="1">
      <alignment/>
      <protection locked="0"/>
    </xf>
    <xf numFmtId="170" fontId="13" fillId="0" borderId="35" xfId="59" applyNumberFormat="1" applyFont="1" applyBorder="1" applyAlignment="1" applyProtection="1">
      <alignment/>
      <protection/>
    </xf>
    <xf numFmtId="1" fontId="14" fillId="37" borderId="70" xfId="69" applyNumberFormat="1" applyFont="1" applyFill="1" applyBorder="1" applyAlignment="1" applyProtection="1">
      <alignment horizontal="right" vertical="top" wrapText="1"/>
      <protection/>
    </xf>
    <xf numFmtId="0" fontId="14" fillId="37" borderId="35" xfId="69" applyFont="1" applyFill="1" applyBorder="1" applyAlignment="1" applyProtection="1">
      <alignment vertical="top" wrapText="1"/>
      <protection/>
    </xf>
    <xf numFmtId="170" fontId="14" fillId="0" borderId="35" xfId="59" applyNumberFormat="1" applyFont="1" applyBorder="1" applyAlignment="1" applyProtection="1">
      <alignment vertical="top" wrapText="1"/>
      <protection locked="0"/>
    </xf>
    <xf numFmtId="170" fontId="14" fillId="0" borderId="35" xfId="59" applyNumberFormat="1" applyFont="1" applyFill="1" applyBorder="1" applyAlignment="1" applyProtection="1">
      <alignment vertical="top" wrapText="1"/>
      <protection locked="0"/>
    </xf>
    <xf numFmtId="170" fontId="14" fillId="0" borderId="35" xfId="59" applyNumberFormat="1" applyFont="1" applyBorder="1" applyAlignment="1" applyProtection="1">
      <alignment/>
      <protection/>
    </xf>
    <xf numFmtId="1" fontId="14" fillId="37" borderId="35" xfId="69" applyNumberFormat="1" applyFont="1" applyFill="1" applyBorder="1" applyAlignment="1" applyProtection="1">
      <alignment horizontal="left" vertical="top" wrapText="1"/>
      <protection/>
    </xf>
    <xf numFmtId="170" fontId="14" fillId="0" borderId="35" xfId="59" applyNumberFormat="1" applyFont="1" applyFill="1" applyBorder="1" applyAlignment="1" applyProtection="1">
      <alignment horizontal="right" vertical="top" wrapText="1"/>
      <protection locked="0"/>
    </xf>
    <xf numFmtId="170" fontId="14" fillId="0" borderId="35" xfId="59" applyNumberFormat="1" applyFont="1" applyBorder="1" applyAlignment="1" applyProtection="1">
      <alignment horizontal="right" vertical="top" wrapText="1"/>
      <protection locked="0"/>
    </xf>
    <xf numFmtId="170" fontId="14" fillId="0" borderId="35" xfId="59" applyNumberFormat="1" applyFont="1" applyBorder="1" applyAlignment="1" applyProtection="1">
      <alignment horizontal="right" vertical="top" wrapText="1"/>
      <protection/>
    </xf>
    <xf numFmtId="170" fontId="14" fillId="0" borderId="42" xfId="59" applyNumberFormat="1" applyFont="1" applyBorder="1" applyAlignment="1" applyProtection="1">
      <alignment horizontal="right" vertical="top" wrapText="1"/>
      <protection/>
    </xf>
    <xf numFmtId="0" fontId="14" fillId="0" borderId="0" xfId="69" applyFont="1" applyAlignment="1" applyProtection="1">
      <alignment vertical="top" wrapText="1"/>
      <protection locked="0"/>
    </xf>
    <xf numFmtId="170" fontId="13" fillId="0" borderId="42" xfId="59" applyNumberFormat="1" applyFont="1" applyFill="1" applyBorder="1" applyAlignment="1" applyProtection="1">
      <alignment vertical="center"/>
      <protection/>
    </xf>
    <xf numFmtId="0" fontId="12" fillId="0" borderId="0" xfId="69" applyFont="1" applyAlignment="1" applyProtection="1">
      <alignment vertical="center"/>
      <protection locked="0"/>
    </xf>
    <xf numFmtId="170" fontId="14" fillId="0" borderId="42" xfId="59" applyNumberFormat="1" applyFont="1" applyFill="1" applyBorder="1" applyAlignment="1" applyProtection="1">
      <alignment vertical="center"/>
      <protection/>
    </xf>
    <xf numFmtId="1" fontId="13" fillId="37" borderId="71" xfId="69" applyNumberFormat="1" applyFont="1" applyFill="1" applyBorder="1" applyProtection="1">
      <alignment/>
      <protection/>
    </xf>
    <xf numFmtId="1" fontId="13" fillId="37" borderId="65" xfId="69" applyNumberFormat="1" applyFont="1" applyFill="1" applyBorder="1" applyProtection="1">
      <alignment/>
      <protection/>
    </xf>
    <xf numFmtId="0" fontId="13" fillId="37" borderId="65" xfId="69" applyFont="1" applyFill="1" applyBorder="1" applyProtection="1">
      <alignment/>
      <protection/>
    </xf>
    <xf numFmtId="170" fontId="13" fillId="0" borderId="65" xfId="59" applyNumberFormat="1" applyFont="1" applyBorder="1" applyAlignment="1" applyProtection="1">
      <alignment/>
      <protection locked="0"/>
    </xf>
    <xf numFmtId="170" fontId="13" fillId="0" borderId="65" xfId="59" applyNumberFormat="1" applyFont="1" applyFill="1" applyBorder="1" applyAlignment="1" applyProtection="1">
      <alignment wrapText="1"/>
      <protection locked="0"/>
    </xf>
    <xf numFmtId="170" fontId="13" fillId="0" borderId="65" xfId="59" applyNumberFormat="1" applyFont="1" applyFill="1" applyBorder="1" applyAlignment="1" applyProtection="1">
      <alignment/>
      <protection locked="0"/>
    </xf>
    <xf numFmtId="170" fontId="13" fillId="0" borderId="65" xfId="59" applyNumberFormat="1" applyFont="1" applyBorder="1" applyAlignment="1" applyProtection="1">
      <alignment/>
      <protection/>
    </xf>
    <xf numFmtId="170" fontId="13" fillId="0" borderId="72" xfId="59" applyNumberFormat="1" applyFont="1" applyFill="1" applyBorder="1" applyAlignment="1" applyProtection="1">
      <alignment/>
      <protection/>
    </xf>
    <xf numFmtId="1" fontId="12" fillId="37" borderId="29" xfId="69" applyNumberFormat="1" applyFont="1" applyFill="1" applyBorder="1" applyProtection="1">
      <alignment/>
      <protection/>
    </xf>
    <xf numFmtId="0" fontId="12" fillId="37" borderId="29" xfId="69" applyFont="1" applyFill="1" applyBorder="1" applyProtection="1">
      <alignment/>
      <protection/>
    </xf>
    <xf numFmtId="170" fontId="12" fillId="37" borderId="29" xfId="59" applyNumberFormat="1" applyFont="1" applyFill="1" applyBorder="1" applyAlignment="1" applyProtection="1">
      <alignment/>
      <protection/>
    </xf>
    <xf numFmtId="170" fontId="13" fillId="0" borderId="35" xfId="59" applyNumberFormat="1" applyFont="1" applyFill="1" applyBorder="1" applyAlignment="1" applyProtection="1">
      <alignment vertical="top"/>
      <protection/>
    </xf>
    <xf numFmtId="0" fontId="12" fillId="0" borderId="0" xfId="69" applyFont="1" applyProtection="1">
      <alignment/>
      <protection locked="0"/>
    </xf>
    <xf numFmtId="1" fontId="13" fillId="37" borderId="70" xfId="69" applyNumberFormat="1" applyFont="1" applyFill="1" applyBorder="1" applyAlignment="1" applyProtection="1">
      <alignment vertical="center"/>
      <protection/>
    </xf>
    <xf numFmtId="1" fontId="13" fillId="37" borderId="35" xfId="69" applyNumberFormat="1" applyFont="1" applyFill="1" applyBorder="1" applyAlignment="1" applyProtection="1">
      <alignment vertical="center"/>
      <protection/>
    </xf>
    <xf numFmtId="170" fontId="13" fillId="0" borderId="35" xfId="59" applyNumberFormat="1" applyFont="1" applyFill="1" applyBorder="1" applyAlignment="1" applyProtection="1">
      <alignment vertical="center"/>
      <protection locked="0"/>
    </xf>
    <xf numFmtId="170" fontId="13" fillId="0" borderId="35" xfId="59" applyNumberFormat="1" applyFont="1" applyFill="1" applyBorder="1" applyAlignment="1" applyProtection="1">
      <alignment vertical="center"/>
      <protection/>
    </xf>
    <xf numFmtId="0" fontId="13" fillId="0" borderId="0" xfId="69" applyFont="1" applyAlignment="1" applyProtection="1">
      <alignment vertical="center"/>
      <protection locked="0"/>
    </xf>
    <xf numFmtId="170" fontId="13" fillId="0" borderId="42" xfId="59" applyNumberFormat="1" applyFont="1" applyBorder="1" applyAlignment="1" applyProtection="1">
      <alignment/>
      <protection locked="0"/>
    </xf>
    <xf numFmtId="170" fontId="13" fillId="0" borderId="35" xfId="59" applyNumberFormat="1" applyFont="1" applyFill="1" applyBorder="1" applyAlignment="1" applyProtection="1">
      <alignment vertical="top" wrapText="1"/>
      <protection/>
    </xf>
    <xf numFmtId="170" fontId="13" fillId="0" borderId="42" xfId="59" applyNumberFormat="1" applyFont="1" applyFill="1" applyBorder="1" applyAlignment="1" applyProtection="1">
      <alignment vertical="top"/>
      <protection/>
    </xf>
    <xf numFmtId="1" fontId="14" fillId="37" borderId="70" xfId="69" applyNumberFormat="1" applyFont="1" applyFill="1" applyBorder="1" applyAlignment="1" applyProtection="1">
      <alignment horizontal="right"/>
      <protection/>
    </xf>
    <xf numFmtId="170" fontId="14" fillId="0" borderId="35" xfId="59" applyNumberFormat="1" applyFont="1" applyBorder="1" applyAlignment="1" applyProtection="1">
      <alignment/>
      <protection locked="0"/>
    </xf>
    <xf numFmtId="1" fontId="12" fillId="37" borderId="29" xfId="69" applyNumberFormat="1" applyFont="1" applyFill="1" applyBorder="1" applyAlignment="1" applyProtection="1">
      <alignment vertical="center"/>
      <protection/>
    </xf>
    <xf numFmtId="1" fontId="13" fillId="37" borderId="29" xfId="69" applyNumberFormat="1" applyFont="1" applyFill="1" applyBorder="1" applyAlignment="1" applyProtection="1">
      <alignment vertical="center"/>
      <protection/>
    </xf>
    <xf numFmtId="0" fontId="12" fillId="37" borderId="29" xfId="69" applyFont="1" applyFill="1" applyBorder="1" applyAlignment="1" applyProtection="1">
      <alignment vertical="center"/>
      <protection/>
    </xf>
    <xf numFmtId="170" fontId="12" fillId="37" borderId="29" xfId="59" applyNumberFormat="1" applyFont="1" applyFill="1" applyBorder="1" applyAlignment="1" applyProtection="1">
      <alignment vertical="center"/>
      <protection/>
    </xf>
    <xf numFmtId="0" fontId="13" fillId="0" borderId="0" xfId="69" applyFont="1" applyAlignment="1" applyProtection="1">
      <alignment vertical="center"/>
      <protection/>
    </xf>
    <xf numFmtId="0" fontId="14" fillId="37" borderId="71" xfId="69" applyFont="1" applyFill="1" applyBorder="1" applyAlignment="1" applyProtection="1">
      <alignment horizontal="right"/>
      <protection/>
    </xf>
    <xf numFmtId="0" fontId="14" fillId="37" borderId="65" xfId="69" applyFont="1" applyFill="1" applyBorder="1" applyProtection="1">
      <alignment/>
      <protection/>
    </xf>
    <xf numFmtId="170" fontId="14" fillId="0" borderId="65" xfId="59" applyNumberFormat="1" applyFont="1" applyBorder="1" applyAlignment="1" applyProtection="1">
      <alignment/>
      <protection locked="0"/>
    </xf>
    <xf numFmtId="170" fontId="14" fillId="0" borderId="65" xfId="59" applyNumberFormat="1" applyFont="1" applyFill="1" applyBorder="1" applyAlignment="1" applyProtection="1">
      <alignment/>
      <protection locked="0"/>
    </xf>
    <xf numFmtId="170" fontId="14" fillId="0" borderId="65" xfId="59" applyNumberFormat="1" applyFont="1" applyBorder="1" applyAlignment="1" applyProtection="1">
      <alignment/>
      <protection/>
    </xf>
    <xf numFmtId="170" fontId="14" fillId="0" borderId="72" xfId="59" applyNumberFormat="1" applyFont="1" applyFill="1" applyBorder="1" applyAlignment="1" applyProtection="1">
      <alignment/>
      <protection/>
    </xf>
    <xf numFmtId="1" fontId="13" fillId="37" borderId="29" xfId="69" applyNumberFormat="1" applyFont="1" applyFill="1" applyBorder="1" applyProtection="1">
      <alignment/>
      <protection/>
    </xf>
    <xf numFmtId="1" fontId="13" fillId="37" borderId="73" xfId="69" applyNumberFormat="1" applyFont="1" applyFill="1" applyBorder="1" applyAlignment="1" applyProtection="1">
      <alignment vertical="center"/>
      <protection/>
    </xf>
    <xf numFmtId="1" fontId="13" fillId="37" borderId="46" xfId="69" applyNumberFormat="1" applyFont="1" applyFill="1" applyBorder="1" applyAlignment="1" applyProtection="1">
      <alignment vertical="center"/>
      <protection/>
    </xf>
    <xf numFmtId="0" fontId="13" fillId="37" borderId="46" xfId="69" applyFont="1" applyFill="1" applyBorder="1" applyProtection="1">
      <alignment/>
      <protection/>
    </xf>
    <xf numFmtId="170" fontId="13" fillId="0" borderId="46" xfId="59" applyNumberFormat="1" applyFont="1" applyBorder="1" applyAlignment="1" applyProtection="1">
      <alignment/>
      <protection locked="0"/>
    </xf>
    <xf numFmtId="170" fontId="13" fillId="0" borderId="46" xfId="59" applyNumberFormat="1" applyFont="1" applyFill="1" applyBorder="1" applyAlignment="1" applyProtection="1">
      <alignment/>
      <protection locked="0"/>
    </xf>
    <xf numFmtId="170" fontId="13" fillId="0" borderId="46" xfId="59" applyNumberFormat="1" applyFont="1" applyBorder="1" applyAlignment="1" applyProtection="1">
      <alignment/>
      <protection/>
    </xf>
    <xf numFmtId="170" fontId="13" fillId="0" borderId="74" xfId="59" applyNumberFormat="1" applyFont="1" applyFill="1" applyBorder="1" applyAlignment="1" applyProtection="1">
      <alignment/>
      <protection/>
    </xf>
    <xf numFmtId="170" fontId="13" fillId="0" borderId="35" xfId="59" applyNumberFormat="1" applyFont="1" applyBorder="1" applyAlignment="1" applyProtection="1">
      <alignment vertical="top"/>
      <protection locked="0"/>
    </xf>
    <xf numFmtId="170" fontId="13" fillId="0" borderId="35" xfId="59" applyNumberFormat="1" applyFont="1" applyFill="1" applyBorder="1" applyAlignment="1" applyProtection="1">
      <alignment vertical="top"/>
      <protection locked="0"/>
    </xf>
    <xf numFmtId="170" fontId="13" fillId="0" borderId="35" xfId="59" applyNumberFormat="1" applyFont="1" applyBorder="1" applyAlignment="1" applyProtection="1">
      <alignment vertical="top"/>
      <protection/>
    </xf>
    <xf numFmtId="170" fontId="13" fillId="0" borderId="35" xfId="59" applyNumberFormat="1" applyFont="1" applyFill="1" applyBorder="1" applyAlignment="1" applyProtection="1">
      <alignment horizontal="right" vertical="top"/>
      <protection locked="0"/>
    </xf>
    <xf numFmtId="170" fontId="13" fillId="0" borderId="35" xfId="59" applyNumberFormat="1" applyFont="1" applyFill="1" applyBorder="1" applyAlignment="1" applyProtection="1">
      <alignment horizontal="right"/>
      <protection/>
    </xf>
    <xf numFmtId="170" fontId="13" fillId="0" borderId="42" xfId="59" applyNumberFormat="1" applyFont="1" applyFill="1" applyBorder="1" applyAlignment="1" applyProtection="1">
      <alignment horizontal="right"/>
      <protection/>
    </xf>
    <xf numFmtId="1" fontId="13" fillId="37" borderId="70" xfId="69" applyNumberFormat="1" applyFont="1" applyFill="1" applyBorder="1" applyAlignment="1" applyProtection="1">
      <alignment horizontal="right" vertical="center" wrapText="1"/>
      <protection/>
    </xf>
    <xf numFmtId="1" fontId="13" fillId="37" borderId="35" xfId="69" applyNumberFormat="1" applyFont="1" applyFill="1" applyBorder="1" applyAlignment="1" applyProtection="1">
      <alignment horizontal="right" vertical="center" wrapText="1"/>
      <protection/>
    </xf>
    <xf numFmtId="0" fontId="13" fillId="37" borderId="35" xfId="69" applyFont="1" applyFill="1" applyBorder="1" applyAlignment="1" applyProtection="1">
      <alignment vertical="center" wrapText="1"/>
      <protection/>
    </xf>
    <xf numFmtId="1" fontId="13" fillId="37" borderId="35" xfId="69" applyNumberFormat="1" applyFont="1" applyFill="1" applyBorder="1" applyAlignment="1" applyProtection="1">
      <alignment horizontal="right"/>
      <protection/>
    </xf>
    <xf numFmtId="1" fontId="13" fillId="37" borderId="70" xfId="69" applyNumberFormat="1" applyFont="1" applyFill="1" applyBorder="1" applyAlignment="1" applyProtection="1">
      <alignment vertical="top"/>
      <protection/>
    </xf>
    <xf numFmtId="1" fontId="13" fillId="37" borderId="35" xfId="69" applyNumberFormat="1" applyFont="1" applyFill="1" applyBorder="1" applyAlignment="1" applyProtection="1">
      <alignment vertical="top"/>
      <protection/>
    </xf>
    <xf numFmtId="0" fontId="13" fillId="0" borderId="0" xfId="69" applyFont="1" applyAlignment="1" applyProtection="1">
      <alignment vertical="top"/>
      <protection locked="0"/>
    </xf>
    <xf numFmtId="1" fontId="14" fillId="37" borderId="65" xfId="69" applyNumberFormat="1" applyFont="1" applyFill="1" applyBorder="1" applyProtection="1">
      <alignment/>
      <protection/>
    </xf>
    <xf numFmtId="1" fontId="14" fillId="37" borderId="71" xfId="69" applyNumberFormat="1" applyFont="1" applyFill="1" applyBorder="1" applyAlignment="1" applyProtection="1">
      <alignment horizontal="right"/>
      <protection/>
    </xf>
    <xf numFmtId="0" fontId="13" fillId="37" borderId="29" xfId="69" applyFont="1" applyFill="1" applyBorder="1" applyProtection="1">
      <alignment/>
      <protection/>
    </xf>
    <xf numFmtId="0" fontId="13" fillId="37" borderId="0" xfId="69" applyFont="1" applyFill="1" applyBorder="1" applyProtection="1">
      <alignment/>
      <protection/>
    </xf>
    <xf numFmtId="0" fontId="12" fillId="37" borderId="0" xfId="69" applyFont="1" applyFill="1" applyBorder="1" applyProtection="1">
      <alignment/>
      <protection/>
    </xf>
    <xf numFmtId="170" fontId="12" fillId="37" borderId="0" xfId="59" applyNumberFormat="1" applyFont="1" applyFill="1" applyBorder="1" applyAlignment="1" applyProtection="1">
      <alignment/>
      <protection/>
    </xf>
    <xf numFmtId="0" fontId="13" fillId="0" borderId="0" xfId="69" applyFont="1" applyFill="1" applyBorder="1" applyProtection="1">
      <alignment/>
      <protection/>
    </xf>
    <xf numFmtId="0" fontId="12" fillId="0" borderId="0" xfId="69" applyFont="1" applyFill="1" applyBorder="1" applyProtection="1">
      <alignment/>
      <protection/>
    </xf>
    <xf numFmtId="170" fontId="12" fillId="0" borderId="0" xfId="59" applyNumberFormat="1" applyFont="1" applyFill="1" applyBorder="1" applyAlignment="1" applyProtection="1">
      <alignment/>
      <protection/>
    </xf>
    <xf numFmtId="170" fontId="13" fillId="0" borderId="26" xfId="59" applyNumberFormat="1" applyFont="1" applyBorder="1" applyAlignment="1" applyProtection="1">
      <alignment/>
      <protection/>
    </xf>
    <xf numFmtId="170" fontId="13" fillId="0" borderId="26" xfId="59" applyNumberFormat="1" applyFont="1" applyFill="1" applyBorder="1" applyAlignment="1" applyProtection="1">
      <alignment/>
      <protection/>
    </xf>
    <xf numFmtId="0" fontId="13" fillId="43" borderId="70" xfId="69" applyFont="1" applyFill="1" applyBorder="1" applyAlignment="1" applyProtection="1">
      <alignment horizontal="right"/>
      <protection/>
    </xf>
    <xf numFmtId="0" fontId="13" fillId="43" borderId="35" xfId="69" applyFont="1" applyFill="1" applyBorder="1" applyProtection="1">
      <alignment/>
      <protection/>
    </xf>
    <xf numFmtId="0" fontId="14" fillId="43" borderId="70" xfId="69" applyFont="1" applyFill="1" applyBorder="1" applyAlignment="1" applyProtection="1">
      <alignment horizontal="right"/>
      <protection/>
    </xf>
    <xf numFmtId="0" fontId="14" fillId="43" borderId="35" xfId="69" applyFont="1" applyFill="1" applyBorder="1" applyProtection="1">
      <alignment/>
      <protection/>
    </xf>
    <xf numFmtId="0" fontId="13" fillId="43" borderId="71" xfId="69" applyFont="1" applyFill="1" applyBorder="1" applyAlignment="1" applyProtection="1">
      <alignment horizontal="right"/>
      <protection/>
    </xf>
    <xf numFmtId="0" fontId="13" fillId="43" borderId="65" xfId="69" applyFont="1" applyFill="1" applyBorder="1" applyProtection="1">
      <alignment/>
      <protection/>
    </xf>
    <xf numFmtId="170" fontId="13" fillId="0" borderId="65" xfId="59" applyNumberFormat="1" applyFont="1" applyFill="1" applyBorder="1" applyAlignment="1" applyProtection="1">
      <alignment/>
      <protection/>
    </xf>
    <xf numFmtId="0" fontId="12" fillId="43" borderId="29" xfId="69" applyFont="1" applyFill="1" applyBorder="1" applyAlignment="1" applyProtection="1">
      <alignment horizontal="right"/>
      <protection/>
    </xf>
    <xf numFmtId="0" fontId="12" fillId="43" borderId="29" xfId="69" applyFont="1" applyFill="1" applyBorder="1" applyProtection="1">
      <alignment/>
      <protection/>
    </xf>
    <xf numFmtId="170" fontId="12" fillId="43" borderId="29" xfId="59" applyNumberFormat="1" applyFont="1" applyFill="1" applyBorder="1" applyAlignment="1" applyProtection="1">
      <alignment/>
      <protection/>
    </xf>
    <xf numFmtId="0" fontId="13" fillId="43" borderId="70" xfId="69" applyFont="1" applyFill="1" applyBorder="1" applyAlignment="1" applyProtection="1">
      <alignment horizontal="right" vertical="top" wrapText="1"/>
      <protection/>
    </xf>
    <xf numFmtId="0" fontId="13" fillId="43" borderId="35" xfId="69" applyFont="1" applyFill="1" applyBorder="1" applyAlignment="1" applyProtection="1">
      <alignment vertical="top" wrapText="1"/>
      <protection/>
    </xf>
    <xf numFmtId="170" fontId="13" fillId="0" borderId="35" xfId="59" applyNumberFormat="1" applyFont="1" applyBorder="1" applyAlignment="1" applyProtection="1">
      <alignment vertical="top" wrapText="1"/>
      <protection locked="0"/>
    </xf>
    <xf numFmtId="170" fontId="13" fillId="0" borderId="42" xfId="59" applyNumberFormat="1" applyFont="1" applyBorder="1" applyAlignment="1" applyProtection="1">
      <alignment vertical="top"/>
      <protection/>
    </xf>
    <xf numFmtId="0" fontId="13" fillId="43" borderId="71" xfId="69" applyFont="1" applyFill="1" applyBorder="1" applyAlignment="1" applyProtection="1">
      <alignment horizontal="right" vertical="top"/>
      <protection/>
    </xf>
    <xf numFmtId="0" fontId="13" fillId="43" borderId="65" xfId="69" applyFont="1" applyFill="1" applyBorder="1" applyAlignment="1" applyProtection="1">
      <alignment vertical="top" wrapText="1"/>
      <protection/>
    </xf>
    <xf numFmtId="170" fontId="13" fillId="0" borderId="65" xfId="59" applyNumberFormat="1" applyFont="1" applyBorder="1" applyAlignment="1" applyProtection="1">
      <alignment vertical="top"/>
      <protection locked="0"/>
    </xf>
    <xf numFmtId="170" fontId="13" fillId="0" borderId="65" xfId="59" applyNumberFormat="1" applyFont="1" applyBorder="1" applyAlignment="1" applyProtection="1">
      <alignment vertical="top"/>
      <protection/>
    </xf>
    <xf numFmtId="170" fontId="13" fillId="0" borderId="72" xfId="59" applyNumberFormat="1" applyFont="1" applyBorder="1" applyAlignment="1" applyProtection="1">
      <alignment vertical="top"/>
      <protection/>
    </xf>
    <xf numFmtId="0" fontId="13" fillId="43" borderId="29" xfId="69" applyFont="1" applyFill="1" applyBorder="1" applyProtection="1">
      <alignment/>
      <protection/>
    </xf>
    <xf numFmtId="0" fontId="13" fillId="43" borderId="0" xfId="69" applyFont="1" applyFill="1" applyBorder="1" applyProtection="1">
      <alignment/>
      <protection/>
    </xf>
    <xf numFmtId="0" fontId="12" fillId="43" borderId="0" xfId="69" applyFont="1" applyFill="1" applyBorder="1" applyProtection="1">
      <alignment/>
      <protection/>
    </xf>
    <xf numFmtId="170" fontId="12" fillId="43" borderId="0" xfId="59" applyNumberFormat="1" applyFont="1" applyFill="1" applyBorder="1" applyAlignment="1" applyProtection="1">
      <alignment/>
      <protection/>
    </xf>
    <xf numFmtId="0" fontId="12" fillId="48" borderId="0" xfId="69" applyFont="1" applyFill="1" applyBorder="1" applyProtection="1">
      <alignment/>
      <protection/>
    </xf>
    <xf numFmtId="0" fontId="13" fillId="48" borderId="0" xfId="69" applyFont="1" applyFill="1" applyBorder="1" applyProtection="1">
      <alignment/>
      <protection/>
    </xf>
    <xf numFmtId="0" fontId="12" fillId="48" borderId="73" xfId="69" applyFont="1" applyFill="1" applyBorder="1" applyProtection="1">
      <alignment/>
      <protection/>
    </xf>
    <xf numFmtId="0" fontId="12" fillId="48" borderId="46" xfId="69" applyFont="1" applyFill="1" applyBorder="1" applyProtection="1">
      <alignment/>
      <protection/>
    </xf>
    <xf numFmtId="170" fontId="12" fillId="2" borderId="35" xfId="59" applyNumberFormat="1" applyFont="1" applyFill="1" applyBorder="1" applyAlignment="1" applyProtection="1">
      <alignment/>
      <protection locked="0"/>
    </xf>
    <xf numFmtId="170" fontId="12" fillId="2" borderId="42" xfId="59" applyNumberFormat="1" applyFont="1" applyFill="1" applyBorder="1" applyAlignment="1" applyProtection="1">
      <alignment/>
      <protection locked="0"/>
    </xf>
    <xf numFmtId="0" fontId="13" fillId="0" borderId="0" xfId="69" applyFont="1" applyFill="1" applyProtection="1">
      <alignment/>
      <protection locked="0"/>
    </xf>
    <xf numFmtId="0" fontId="12" fillId="48" borderId="70" xfId="69" applyFont="1" applyFill="1" applyBorder="1" applyAlignment="1" applyProtection="1">
      <alignment horizontal="right" vertical="top"/>
      <protection/>
    </xf>
    <xf numFmtId="0" fontId="12" fillId="48" borderId="35" xfId="69" applyFont="1" applyFill="1" applyBorder="1" applyProtection="1">
      <alignment/>
      <protection/>
    </xf>
    <xf numFmtId="0" fontId="14" fillId="48" borderId="70" xfId="69" applyFont="1" applyFill="1" applyBorder="1" applyAlignment="1" applyProtection="1">
      <alignment horizontal="right" vertical="top"/>
      <protection/>
    </xf>
    <xf numFmtId="0" fontId="14" fillId="48" borderId="35" xfId="69" applyFont="1" applyFill="1" applyBorder="1" applyProtection="1">
      <alignment/>
      <protection/>
    </xf>
    <xf numFmtId="170" fontId="14" fillId="0" borderId="42" xfId="59" applyNumberFormat="1" applyFont="1" applyFill="1" applyBorder="1" applyAlignment="1" applyProtection="1">
      <alignment/>
      <protection locked="0"/>
    </xf>
    <xf numFmtId="0" fontId="14" fillId="48" borderId="70" xfId="69" applyFont="1" applyFill="1" applyBorder="1" applyAlignment="1" applyProtection="1">
      <alignment horizontal="right" vertical="top" wrapText="1"/>
      <protection/>
    </xf>
    <xf numFmtId="0" fontId="14" fillId="48" borderId="35" xfId="69" applyFont="1" applyFill="1" applyBorder="1" applyAlignment="1" applyProtection="1">
      <alignment vertical="top"/>
      <protection/>
    </xf>
    <xf numFmtId="170" fontId="14" fillId="0" borderId="35" xfId="59" applyNumberFormat="1" applyFont="1" applyFill="1" applyBorder="1" applyAlignment="1" applyProtection="1">
      <alignment vertical="top"/>
      <protection locked="0"/>
    </xf>
    <xf numFmtId="170" fontId="14" fillId="0" borderId="42" xfId="59" applyNumberFormat="1" applyFont="1" applyFill="1" applyBorder="1" applyAlignment="1" applyProtection="1">
      <alignment vertical="top"/>
      <protection locked="0"/>
    </xf>
    <xf numFmtId="0" fontId="13" fillId="0" borderId="0" xfId="69" applyFont="1" applyFill="1" applyAlignment="1" applyProtection="1">
      <alignment vertical="top"/>
      <protection locked="0"/>
    </xf>
    <xf numFmtId="0" fontId="14" fillId="48" borderId="35" xfId="69" applyFont="1" applyFill="1" applyBorder="1" applyAlignment="1" applyProtection="1">
      <alignment vertical="top" wrapText="1"/>
      <protection/>
    </xf>
    <xf numFmtId="170" fontId="14" fillId="0" borderId="42" xfId="59" applyNumberFormat="1" applyFont="1" applyFill="1" applyBorder="1" applyAlignment="1" applyProtection="1">
      <alignment vertical="top" wrapText="1"/>
      <protection locked="0"/>
    </xf>
    <xf numFmtId="0" fontId="13" fillId="0" borderId="0" xfId="69" applyFont="1" applyFill="1" applyAlignment="1" applyProtection="1">
      <alignment vertical="top" wrapText="1"/>
      <protection locked="0"/>
    </xf>
    <xf numFmtId="0" fontId="13" fillId="48" borderId="70" xfId="69" applyFont="1" applyFill="1" applyBorder="1" applyAlignment="1" applyProtection="1">
      <alignment horizontal="right" vertical="top"/>
      <protection/>
    </xf>
    <xf numFmtId="0" fontId="13" fillId="48" borderId="35" xfId="69" applyFont="1" applyFill="1" applyBorder="1" applyProtection="1">
      <alignment/>
      <protection/>
    </xf>
    <xf numFmtId="170" fontId="12" fillId="0" borderId="35" xfId="59" applyNumberFormat="1" applyFont="1" applyFill="1" applyBorder="1" applyAlignment="1" applyProtection="1">
      <alignment/>
      <protection locked="0"/>
    </xf>
    <xf numFmtId="170" fontId="12" fillId="0" borderId="42" xfId="59" applyNumberFormat="1" applyFont="1" applyFill="1" applyBorder="1" applyAlignment="1" applyProtection="1">
      <alignment/>
      <protection locked="0"/>
    </xf>
    <xf numFmtId="0" fontId="13" fillId="48" borderId="70" xfId="69" applyFont="1" applyFill="1" applyBorder="1" applyAlignment="1" applyProtection="1">
      <alignment horizontal="right" vertical="top" wrapText="1"/>
      <protection/>
    </xf>
    <xf numFmtId="0" fontId="13" fillId="48" borderId="35" xfId="69" applyFont="1" applyFill="1" applyBorder="1" applyAlignment="1" applyProtection="1">
      <alignment vertical="top" wrapText="1"/>
      <protection/>
    </xf>
    <xf numFmtId="170" fontId="12" fillId="0" borderId="35" xfId="59" applyNumberFormat="1" applyFont="1" applyFill="1" applyBorder="1" applyAlignment="1" applyProtection="1">
      <alignment vertical="top" wrapText="1"/>
      <protection locked="0"/>
    </xf>
    <xf numFmtId="170" fontId="12" fillId="0" borderId="42" xfId="59" applyNumberFormat="1" applyFont="1" applyFill="1" applyBorder="1" applyAlignment="1" applyProtection="1">
      <alignment vertical="top" wrapText="1"/>
      <protection locked="0"/>
    </xf>
    <xf numFmtId="0" fontId="13" fillId="48" borderId="71" xfId="69" applyFont="1" applyFill="1" applyBorder="1" applyAlignment="1" applyProtection="1">
      <alignment horizontal="right" vertical="top"/>
      <protection/>
    </xf>
    <xf numFmtId="0" fontId="13" fillId="48" borderId="65" xfId="69" applyFont="1" applyFill="1" applyBorder="1" applyProtection="1">
      <alignment/>
      <protection/>
    </xf>
    <xf numFmtId="170" fontId="12" fillId="0" borderId="65" xfId="59" applyNumberFormat="1" applyFont="1" applyFill="1" applyBorder="1" applyAlignment="1" applyProtection="1">
      <alignment/>
      <protection locked="0"/>
    </xf>
    <xf numFmtId="170" fontId="12" fillId="0" borderId="72" xfId="59" applyNumberFormat="1" applyFont="1" applyFill="1" applyBorder="1" applyAlignment="1" applyProtection="1">
      <alignment/>
      <protection locked="0"/>
    </xf>
    <xf numFmtId="0" fontId="12" fillId="48" borderId="29" xfId="69" applyFont="1" applyFill="1" applyBorder="1" applyProtection="1">
      <alignment/>
      <protection/>
    </xf>
    <xf numFmtId="0" fontId="13" fillId="48" borderId="29" xfId="69" applyFont="1" applyFill="1" applyBorder="1" applyProtection="1">
      <alignment/>
      <protection/>
    </xf>
    <xf numFmtId="170" fontId="12" fillId="48" borderId="29" xfId="59" applyNumberFormat="1" applyFont="1" applyFill="1" applyBorder="1" applyAlignment="1" applyProtection="1">
      <alignment/>
      <protection/>
    </xf>
    <xf numFmtId="170" fontId="12" fillId="0" borderId="46" xfId="59" applyNumberFormat="1" applyFont="1" applyFill="1" applyBorder="1" applyAlignment="1" applyProtection="1">
      <alignment/>
      <protection locked="0"/>
    </xf>
    <xf numFmtId="170" fontId="12" fillId="0" borderId="74" xfId="59" applyNumberFormat="1" applyFont="1" applyFill="1" applyBorder="1" applyAlignment="1" applyProtection="1">
      <alignment/>
      <protection locked="0"/>
    </xf>
    <xf numFmtId="0" fontId="12" fillId="48" borderId="70" xfId="69" applyFont="1" applyFill="1" applyBorder="1" applyAlignment="1" applyProtection="1">
      <alignment horizontal="right"/>
      <protection/>
    </xf>
    <xf numFmtId="0" fontId="13" fillId="48" borderId="70" xfId="69" applyFont="1" applyFill="1" applyBorder="1" applyAlignment="1" applyProtection="1">
      <alignment horizontal="right"/>
      <protection/>
    </xf>
    <xf numFmtId="0" fontId="14" fillId="0" borderId="0" xfId="69" applyFont="1" applyFill="1" applyProtection="1">
      <alignment/>
      <protection locked="0"/>
    </xf>
    <xf numFmtId="0" fontId="14" fillId="48" borderId="70" xfId="69" applyFont="1" applyFill="1" applyBorder="1" applyAlignment="1" applyProtection="1">
      <alignment horizontal="right"/>
      <protection/>
    </xf>
    <xf numFmtId="170" fontId="15" fillId="0" borderId="35" xfId="59" applyNumberFormat="1" applyFont="1" applyFill="1" applyBorder="1" applyAlignment="1" applyProtection="1">
      <alignment/>
      <protection locked="0"/>
    </xf>
    <xf numFmtId="170" fontId="15" fillId="0" borderId="42" xfId="59" applyNumberFormat="1" applyFont="1" applyFill="1" applyBorder="1" applyAlignment="1" applyProtection="1">
      <alignment/>
      <protection locked="0"/>
    </xf>
    <xf numFmtId="0" fontId="14" fillId="0" borderId="0" xfId="69" applyFont="1" applyFill="1" applyAlignment="1" applyProtection="1">
      <alignment vertical="top" wrapText="1"/>
      <protection locked="0"/>
    </xf>
    <xf numFmtId="0" fontId="14" fillId="48" borderId="71" xfId="69" applyFont="1" applyFill="1" applyBorder="1" applyAlignment="1" applyProtection="1">
      <alignment horizontal="right"/>
      <protection/>
    </xf>
    <xf numFmtId="0" fontId="14" fillId="48" borderId="65" xfId="69" applyFont="1" applyFill="1" applyBorder="1" applyProtection="1">
      <alignment/>
      <protection/>
    </xf>
    <xf numFmtId="170" fontId="14" fillId="0" borderId="72" xfId="59" applyNumberFormat="1" applyFont="1" applyFill="1" applyBorder="1" applyAlignment="1" applyProtection="1">
      <alignment/>
      <protection locked="0"/>
    </xf>
    <xf numFmtId="0" fontId="12" fillId="39" borderId="0" xfId="69" applyFont="1" applyFill="1" applyProtection="1">
      <alignment/>
      <protection/>
    </xf>
    <xf numFmtId="0" fontId="13" fillId="39" borderId="0" xfId="69" applyFont="1" applyFill="1" applyProtection="1">
      <alignment/>
      <protection/>
    </xf>
    <xf numFmtId="0" fontId="13" fillId="39" borderId="0" xfId="69" applyFont="1" applyFill="1" applyAlignment="1" applyProtection="1">
      <alignment horizontal="right"/>
      <protection/>
    </xf>
    <xf numFmtId="0" fontId="13" fillId="39" borderId="21" xfId="69" applyFont="1" applyFill="1" applyBorder="1" applyAlignment="1" applyProtection="1">
      <alignment horizontal="right"/>
      <protection/>
    </xf>
    <xf numFmtId="0" fontId="13" fillId="39" borderId="21" xfId="69" applyFont="1" applyFill="1" applyBorder="1" applyProtection="1">
      <alignment/>
      <protection/>
    </xf>
    <xf numFmtId="171" fontId="13" fillId="39" borderId="21" xfId="59" applyNumberFormat="1" applyFont="1" applyFill="1" applyBorder="1" applyAlignment="1" applyProtection="1">
      <alignment/>
      <protection/>
    </xf>
    <xf numFmtId="0" fontId="13" fillId="39" borderId="0" xfId="69" applyFont="1" applyFill="1" applyBorder="1" applyAlignment="1" applyProtection="1">
      <alignment horizontal="right"/>
      <protection/>
    </xf>
    <xf numFmtId="0" fontId="13" fillId="39" borderId="0" xfId="69" applyFont="1" applyFill="1" applyBorder="1" applyProtection="1">
      <alignment/>
      <protection/>
    </xf>
    <xf numFmtId="172" fontId="13" fillId="39" borderId="0" xfId="66" applyNumberFormat="1" applyFont="1" applyFill="1" applyBorder="1" applyAlignment="1" applyProtection="1">
      <alignment/>
      <protection/>
    </xf>
    <xf numFmtId="0" fontId="13" fillId="39" borderId="0" xfId="69" applyFont="1" applyFill="1" applyBorder="1" applyAlignment="1" applyProtection="1">
      <alignment horizontal="right" vertical="top" wrapText="1"/>
      <protection/>
    </xf>
    <xf numFmtId="0" fontId="13" fillId="39" borderId="0" xfId="69" applyFont="1" applyFill="1" applyBorder="1" applyAlignment="1" applyProtection="1">
      <alignment vertical="top" wrapText="1"/>
      <protection/>
    </xf>
    <xf numFmtId="172" fontId="13" fillId="39" borderId="0" xfId="66" applyNumberFormat="1" applyFont="1" applyFill="1" applyBorder="1" applyAlignment="1" applyProtection="1">
      <alignment vertical="top"/>
      <protection/>
    </xf>
    <xf numFmtId="0" fontId="13" fillId="0" borderId="0" xfId="69" applyFont="1" applyAlignment="1" applyProtection="1">
      <alignment vertical="top"/>
      <protection/>
    </xf>
    <xf numFmtId="0" fontId="13" fillId="39" borderId="26" xfId="69" applyFont="1" applyFill="1" applyBorder="1" applyAlignment="1" applyProtection="1">
      <alignment horizontal="right" vertical="top" wrapText="1"/>
      <protection/>
    </xf>
    <xf numFmtId="0" fontId="13" fillId="39" borderId="26" xfId="69" applyFont="1" applyFill="1" applyBorder="1" applyAlignment="1" applyProtection="1">
      <alignment vertical="top" wrapText="1"/>
      <protection/>
    </xf>
    <xf numFmtId="172" fontId="13" fillId="39" borderId="26" xfId="66" applyNumberFormat="1" applyFont="1" applyFill="1" applyBorder="1" applyAlignment="1" applyProtection="1">
      <alignment vertical="top"/>
      <protection/>
    </xf>
    <xf numFmtId="0" fontId="13" fillId="39" borderId="21" xfId="69" applyFont="1" applyFill="1" applyBorder="1" applyAlignment="1" applyProtection="1">
      <alignment horizontal="right" vertical="top" wrapText="1"/>
      <protection/>
    </xf>
    <xf numFmtId="0" fontId="13" fillId="39" borderId="21" xfId="69" applyFont="1" applyFill="1" applyBorder="1" applyAlignment="1" applyProtection="1">
      <alignment vertical="top" wrapText="1"/>
      <protection/>
    </xf>
    <xf numFmtId="171" fontId="13" fillId="39" borderId="21" xfId="59" applyNumberFormat="1" applyFont="1" applyFill="1" applyBorder="1" applyAlignment="1" applyProtection="1">
      <alignment vertical="top"/>
      <protection/>
    </xf>
    <xf numFmtId="171" fontId="13" fillId="39" borderId="0" xfId="59" applyNumberFormat="1" applyFont="1" applyFill="1" applyBorder="1" applyAlignment="1" applyProtection="1">
      <alignment vertical="top"/>
      <protection/>
    </xf>
    <xf numFmtId="170" fontId="13" fillId="39" borderId="21" xfId="59" applyNumberFormat="1" applyFont="1" applyFill="1" applyBorder="1" applyAlignment="1" applyProtection="1">
      <alignment/>
      <protection/>
    </xf>
    <xf numFmtId="0" fontId="13" fillId="39" borderId="26" xfId="69" applyFont="1" applyFill="1" applyBorder="1" applyAlignment="1" applyProtection="1">
      <alignment horizontal="right"/>
      <protection/>
    </xf>
    <xf numFmtId="0" fontId="13" fillId="39" borderId="26" xfId="69" applyFont="1" applyFill="1" applyBorder="1" applyProtection="1">
      <alignment/>
      <protection/>
    </xf>
    <xf numFmtId="172" fontId="13" fillId="39" borderId="26" xfId="66" applyNumberFormat="1" applyFont="1" applyFill="1" applyBorder="1" applyAlignment="1" applyProtection="1">
      <alignment/>
      <protection/>
    </xf>
    <xf numFmtId="170" fontId="13" fillId="39" borderId="0" xfId="59" applyNumberFormat="1" applyFont="1" applyFill="1" applyBorder="1" applyAlignment="1" applyProtection="1">
      <alignment/>
      <protection/>
    </xf>
    <xf numFmtId="170" fontId="13" fillId="39" borderId="0" xfId="59" applyNumberFormat="1" applyFont="1" applyFill="1" applyBorder="1" applyAlignment="1" applyProtection="1">
      <alignment horizontal="right"/>
      <protection/>
    </xf>
    <xf numFmtId="0" fontId="13" fillId="39" borderId="26" xfId="69" applyFont="1" applyFill="1" applyBorder="1" applyAlignment="1" applyProtection="1">
      <alignment vertical="top"/>
      <protection/>
    </xf>
    <xf numFmtId="0" fontId="13" fillId="39" borderId="29" xfId="69" applyFont="1" applyFill="1" applyBorder="1" applyProtection="1">
      <alignment/>
      <protection/>
    </xf>
    <xf numFmtId="172" fontId="13" fillId="39" borderId="29" xfId="66" applyNumberFormat="1" applyFont="1" applyFill="1" applyBorder="1" applyAlignment="1" applyProtection="1">
      <alignment/>
      <protection/>
    </xf>
    <xf numFmtId="0" fontId="13" fillId="39" borderId="29" xfId="69" applyFont="1" applyFill="1" applyBorder="1" applyAlignment="1" applyProtection="1">
      <alignment horizontal="right"/>
      <protection/>
    </xf>
    <xf numFmtId="0" fontId="12" fillId="49" borderId="0" xfId="69" applyFont="1" applyFill="1" applyBorder="1" applyProtection="1">
      <alignment/>
      <protection/>
    </xf>
    <xf numFmtId="0" fontId="13" fillId="49" borderId="0" xfId="69" applyFont="1" applyFill="1" applyBorder="1" applyProtection="1">
      <alignment/>
      <protection/>
    </xf>
    <xf numFmtId="170" fontId="13" fillId="49" borderId="0" xfId="59" applyNumberFormat="1" applyFont="1" applyFill="1" applyBorder="1" applyAlignment="1" applyProtection="1">
      <alignment/>
      <protection/>
    </xf>
    <xf numFmtId="170" fontId="13" fillId="49" borderId="0" xfId="59" applyNumberFormat="1" applyFont="1" applyFill="1" applyBorder="1" applyAlignment="1" applyProtection="1">
      <alignment/>
      <protection locked="0"/>
    </xf>
    <xf numFmtId="170" fontId="13" fillId="49" borderId="0" xfId="70" applyNumberFormat="1" applyFont="1" applyFill="1" applyBorder="1" applyProtection="1">
      <alignment/>
      <protection/>
    </xf>
    <xf numFmtId="170" fontId="13" fillId="49" borderId="0" xfId="69" applyNumberFormat="1" applyFont="1" applyFill="1" applyBorder="1" applyProtection="1">
      <alignment/>
      <protection/>
    </xf>
    <xf numFmtId="0" fontId="12" fillId="33" borderId="0" xfId="69" applyFont="1" applyFill="1" applyAlignment="1" applyProtection="1">
      <alignment wrapText="1"/>
      <protection/>
    </xf>
    <xf numFmtId="0" fontId="13" fillId="33" borderId="0" xfId="69" applyFont="1" applyFill="1" applyProtection="1">
      <alignment/>
      <protection/>
    </xf>
    <xf numFmtId="170" fontId="13" fillId="33" borderId="0" xfId="59" applyNumberFormat="1" applyFont="1" applyFill="1" applyAlignment="1" applyProtection="1">
      <alignment/>
      <protection/>
    </xf>
    <xf numFmtId="0" fontId="33" fillId="33" borderId="0" xfId="69" applyFont="1" applyFill="1" applyBorder="1" applyAlignment="1" applyProtection="1">
      <alignment vertical="center"/>
      <protection/>
    </xf>
    <xf numFmtId="0" fontId="34" fillId="50" borderId="0" xfId="69" applyFont="1" applyFill="1" applyBorder="1" applyAlignment="1" applyProtection="1">
      <alignment vertical="center"/>
      <protection locked="0"/>
    </xf>
    <xf numFmtId="0" fontId="13" fillId="0" borderId="0" xfId="69" applyFont="1" applyAlignment="1" applyProtection="1">
      <alignment horizontal="right"/>
      <protection/>
    </xf>
    <xf numFmtId="1" fontId="13" fillId="37" borderId="69" xfId="69" applyNumberFormat="1" applyFont="1" applyFill="1" applyBorder="1" applyProtection="1">
      <alignment/>
      <protection/>
    </xf>
    <xf numFmtId="1" fontId="13" fillId="37" borderId="40" xfId="69" applyNumberFormat="1" applyFont="1" applyFill="1" applyBorder="1" applyProtection="1">
      <alignment/>
      <protection/>
    </xf>
    <xf numFmtId="170" fontId="13" fillId="0" borderId="40" xfId="59" applyNumberFormat="1" applyFont="1" applyFill="1" applyBorder="1" applyAlignment="1" applyProtection="1">
      <alignment/>
      <protection locked="0"/>
    </xf>
    <xf numFmtId="170" fontId="13" fillId="0" borderId="42" xfId="59" applyNumberFormat="1" applyFont="1" applyFill="1" applyBorder="1" applyAlignment="1" applyProtection="1">
      <alignment horizontal="right" vertical="top"/>
      <protection/>
    </xf>
    <xf numFmtId="1" fontId="14" fillId="37" borderId="35" xfId="69" applyNumberFormat="1" applyFont="1" applyFill="1" applyBorder="1" applyAlignment="1" applyProtection="1">
      <alignment horizontal="right" vertical="top" wrapText="1"/>
      <protection/>
    </xf>
    <xf numFmtId="170" fontId="13" fillId="0" borderId="42" xfId="59" applyNumberFormat="1" applyFont="1" applyBorder="1" applyAlignment="1" applyProtection="1">
      <alignment horizontal="right"/>
      <protection/>
    </xf>
    <xf numFmtId="170" fontId="14" fillId="0" borderId="35" xfId="59" applyNumberFormat="1" applyFont="1" applyFill="1" applyBorder="1" applyAlignment="1" applyProtection="1">
      <alignment vertical="center"/>
      <protection locked="0"/>
    </xf>
    <xf numFmtId="170" fontId="13" fillId="0" borderId="72" xfId="59" applyNumberFormat="1" applyFont="1" applyBorder="1" applyAlignment="1" applyProtection="1">
      <alignment/>
      <protection/>
    </xf>
    <xf numFmtId="0" fontId="12" fillId="0" borderId="0" xfId="69" applyFont="1" applyProtection="1">
      <alignment/>
      <protection/>
    </xf>
    <xf numFmtId="170" fontId="14" fillId="0" borderId="65" xfId="59" applyNumberFormat="1" applyFont="1" applyFill="1" applyBorder="1" applyAlignment="1" applyProtection="1">
      <alignment vertical="center"/>
      <protection locked="0"/>
    </xf>
    <xf numFmtId="170" fontId="13" fillId="0" borderId="74" xfId="59" applyNumberFormat="1" applyFont="1" applyBorder="1" applyAlignment="1" applyProtection="1">
      <alignment/>
      <protection/>
    </xf>
    <xf numFmtId="0" fontId="14" fillId="0" borderId="0" xfId="69" applyFont="1" applyAlignment="1" applyProtection="1">
      <alignment vertical="top"/>
      <protection locked="0"/>
    </xf>
    <xf numFmtId="170" fontId="13" fillId="0" borderId="35" xfId="59" applyNumberFormat="1" applyFont="1" applyFill="1" applyBorder="1" applyAlignment="1" applyProtection="1">
      <alignment horizontal="right"/>
      <protection locked="0"/>
    </xf>
    <xf numFmtId="1" fontId="13" fillId="37" borderId="70" xfId="69" applyNumberFormat="1" applyFont="1" applyFill="1" applyBorder="1" applyAlignment="1" applyProtection="1">
      <alignment horizontal="right" vertical="top"/>
      <protection/>
    </xf>
    <xf numFmtId="170" fontId="12" fillId="2" borderId="35" xfId="59" applyNumberFormat="1" applyFont="1" applyFill="1" applyBorder="1" applyAlignment="1" applyProtection="1">
      <alignment vertical="center"/>
      <protection locked="0"/>
    </xf>
    <xf numFmtId="0" fontId="13" fillId="48" borderId="35" xfId="69" applyFont="1" applyFill="1" applyBorder="1" applyAlignment="1" applyProtection="1">
      <alignment vertical="top"/>
      <protection/>
    </xf>
    <xf numFmtId="170" fontId="13" fillId="0" borderId="42" xfId="59" applyNumberFormat="1" applyFont="1" applyFill="1" applyBorder="1" applyAlignment="1" applyProtection="1">
      <alignment vertical="top"/>
      <protection locked="0"/>
    </xf>
    <xf numFmtId="170" fontId="13" fillId="0" borderId="42" xfId="59" applyNumberFormat="1" applyFont="1" applyFill="1" applyBorder="1" applyAlignment="1" applyProtection="1">
      <alignment vertical="top" wrapText="1"/>
      <protection locked="0"/>
    </xf>
    <xf numFmtId="170" fontId="13" fillId="0" borderId="65" xfId="59" applyNumberFormat="1" applyFont="1" applyFill="1" applyBorder="1" applyAlignment="1" applyProtection="1">
      <alignment vertical="center"/>
      <protection locked="0"/>
    </xf>
    <xf numFmtId="170" fontId="13" fillId="0" borderId="0" xfId="59" applyNumberFormat="1" applyFont="1" applyFill="1" applyBorder="1" applyAlignment="1" applyProtection="1">
      <alignment/>
      <protection locked="0"/>
    </xf>
    <xf numFmtId="170" fontId="13" fillId="0" borderId="74" xfId="59" applyNumberFormat="1" applyFont="1" applyBorder="1" applyAlignment="1" applyProtection="1">
      <alignment/>
      <protection locked="0"/>
    </xf>
    <xf numFmtId="170" fontId="13" fillId="0" borderId="42" xfId="59" applyNumberFormat="1" applyFont="1" applyBorder="1" applyAlignment="1" applyProtection="1">
      <alignment vertical="top"/>
      <protection locked="0"/>
    </xf>
    <xf numFmtId="170" fontId="13" fillId="0" borderId="42" xfId="59" applyNumberFormat="1" applyFont="1" applyFill="1" applyBorder="1" applyAlignment="1" applyProtection="1">
      <alignment horizontal="right" vertical="top"/>
      <protection locked="0"/>
    </xf>
    <xf numFmtId="0" fontId="13" fillId="39" borderId="0" xfId="69" applyFont="1" applyFill="1" applyBorder="1" applyAlignment="1" applyProtection="1">
      <alignment horizontal="right" vertical="center" wrapText="1"/>
      <protection/>
    </xf>
    <xf numFmtId="0" fontId="13" fillId="39" borderId="0" xfId="69" applyFont="1" applyFill="1" applyBorder="1" applyAlignment="1" applyProtection="1">
      <alignment vertical="center" wrapText="1"/>
      <protection/>
    </xf>
    <xf numFmtId="172" fontId="13" fillId="39" borderId="0" xfId="66" applyNumberFormat="1" applyFont="1" applyFill="1" applyBorder="1" applyAlignment="1" applyProtection="1">
      <alignment vertical="center"/>
      <protection/>
    </xf>
    <xf numFmtId="0" fontId="13" fillId="39" borderId="26" xfId="69" applyFont="1" applyFill="1" applyBorder="1" applyAlignment="1" applyProtection="1">
      <alignment horizontal="right" vertical="center" wrapText="1"/>
      <protection/>
    </xf>
    <xf numFmtId="0" fontId="13" fillId="39" borderId="26" xfId="69" applyFont="1" applyFill="1" applyBorder="1" applyAlignment="1" applyProtection="1">
      <alignment vertical="center" wrapText="1"/>
      <protection/>
    </xf>
    <xf numFmtId="172" fontId="13" fillId="39" borderId="26" xfId="66" applyNumberFormat="1" applyFont="1" applyFill="1" applyBorder="1" applyAlignment="1" applyProtection="1">
      <alignment vertical="center"/>
      <protection/>
    </xf>
    <xf numFmtId="170" fontId="13" fillId="0" borderId="35" xfId="59" applyNumberFormat="1" applyFont="1" applyFill="1" applyBorder="1" applyAlignment="1" applyProtection="1">
      <alignment horizontal="right" vertical="top"/>
      <protection/>
    </xf>
    <xf numFmtId="0" fontId="13" fillId="39" borderId="21" xfId="69" applyFont="1" applyFill="1" applyBorder="1" applyAlignment="1" applyProtection="1">
      <alignment horizontal="left" vertical="top"/>
      <protection/>
    </xf>
    <xf numFmtId="0" fontId="13" fillId="39" borderId="0" xfId="69" applyFont="1" applyFill="1" applyBorder="1" applyAlignment="1" applyProtection="1">
      <alignment horizontal="left" vertical="top"/>
      <protection/>
    </xf>
    <xf numFmtId="0" fontId="13" fillId="39" borderId="0" xfId="69" applyFont="1" applyFill="1" applyBorder="1" applyAlignment="1" applyProtection="1">
      <alignment horizontal="left" vertical="top" wrapText="1"/>
      <protection/>
    </xf>
    <xf numFmtId="0" fontId="13" fillId="39" borderId="26" xfId="69" applyFont="1" applyFill="1" applyBorder="1" applyAlignment="1" applyProtection="1">
      <alignment horizontal="left" vertical="top" wrapText="1"/>
      <protection/>
    </xf>
    <xf numFmtId="0" fontId="13" fillId="39" borderId="21" xfId="69" applyFont="1" applyFill="1" applyBorder="1" applyAlignment="1" applyProtection="1">
      <alignment horizontal="left" vertical="top" wrapText="1"/>
      <protection/>
    </xf>
    <xf numFmtId="0" fontId="13" fillId="39" borderId="26" xfId="69" applyFont="1" applyFill="1" applyBorder="1" applyAlignment="1" applyProtection="1">
      <alignment horizontal="left" vertical="top"/>
      <protection/>
    </xf>
    <xf numFmtId="0" fontId="13" fillId="39" borderId="29" xfId="69" applyFont="1" applyFill="1" applyBorder="1" applyAlignment="1" applyProtection="1">
      <alignment horizontal="left" vertical="top"/>
      <protection/>
    </xf>
    <xf numFmtId="0" fontId="13" fillId="39" borderId="21" xfId="69" applyFont="1" applyFill="1" applyBorder="1" applyAlignment="1" applyProtection="1">
      <alignment horizontal="left"/>
      <protection/>
    </xf>
    <xf numFmtId="0" fontId="13" fillId="39" borderId="0" xfId="69" applyFont="1" applyFill="1" applyBorder="1" applyAlignment="1" applyProtection="1">
      <alignment horizontal="left"/>
      <protection/>
    </xf>
    <xf numFmtId="0" fontId="13" fillId="39" borderId="26" xfId="69" applyFont="1" applyFill="1" applyBorder="1" applyAlignment="1" applyProtection="1">
      <alignment horizontal="left"/>
      <protection/>
    </xf>
    <xf numFmtId="0" fontId="13" fillId="39" borderId="29" xfId="69" applyFont="1" applyFill="1" applyBorder="1" applyAlignment="1" applyProtection="1">
      <alignment horizontal="left"/>
      <protection/>
    </xf>
    <xf numFmtId="43" fontId="13" fillId="33" borderId="0" xfId="59" applyFont="1" applyFill="1" applyAlignment="1" applyProtection="1">
      <alignment/>
      <protection/>
    </xf>
    <xf numFmtId="170" fontId="13" fillId="0" borderId="42" xfId="59" applyNumberFormat="1" applyFont="1" applyFill="1" applyBorder="1" applyAlignment="1" applyProtection="1">
      <alignment/>
      <protection/>
    </xf>
    <xf numFmtId="170" fontId="13" fillId="0" borderId="35" xfId="59" applyNumberFormat="1" applyFont="1" applyFill="1" applyBorder="1" applyAlignment="1" applyProtection="1">
      <alignment/>
      <protection/>
    </xf>
    <xf numFmtId="0" fontId="13" fillId="37" borderId="35" xfId="69" applyFont="1" applyFill="1" applyBorder="1" applyAlignment="1" applyProtection="1">
      <alignment wrapText="1"/>
      <protection/>
    </xf>
    <xf numFmtId="1" fontId="13" fillId="37" borderId="35" xfId="69" applyNumberFormat="1" applyFont="1" applyFill="1" applyBorder="1" applyAlignment="1" applyProtection="1">
      <alignment horizontal="right" wrapText="1"/>
      <protection/>
    </xf>
    <xf numFmtId="1" fontId="13" fillId="37" borderId="70" xfId="69" applyNumberFormat="1" applyFont="1" applyFill="1" applyBorder="1" applyAlignment="1" applyProtection="1">
      <alignment horizontal="right" wrapText="1"/>
      <protection/>
    </xf>
    <xf numFmtId="170" fontId="13" fillId="0" borderId="42" xfId="59" applyNumberFormat="1" applyFont="1" applyBorder="1" applyAlignment="1" applyProtection="1">
      <alignment/>
      <protection locked="0"/>
    </xf>
    <xf numFmtId="170" fontId="13" fillId="0" borderId="35" xfId="59" applyNumberFormat="1" applyFont="1" applyBorder="1" applyAlignment="1" applyProtection="1">
      <alignment/>
      <protection locked="0"/>
    </xf>
    <xf numFmtId="170" fontId="13" fillId="0" borderId="35" xfId="59" applyNumberFormat="1" applyFont="1" applyFill="1" applyBorder="1" applyAlignment="1" applyProtection="1">
      <alignment/>
      <protection locked="0"/>
    </xf>
    <xf numFmtId="170" fontId="14" fillId="0" borderId="35" xfId="59" applyNumberFormat="1" applyFont="1" applyFill="1" applyBorder="1" applyAlignment="1" applyProtection="1">
      <alignment horizontal="right" vertical="top" wrapText="1"/>
      <protection/>
    </xf>
    <xf numFmtId="170" fontId="14" fillId="0" borderId="35" xfId="59" applyNumberFormat="1" applyFont="1" applyBorder="1" applyAlignment="1" applyProtection="1">
      <alignment vertical="top"/>
      <protection locked="0"/>
    </xf>
    <xf numFmtId="170" fontId="13" fillId="0" borderId="40" xfId="59" applyNumberFormat="1" applyFont="1" applyFill="1" applyBorder="1" applyAlignment="1" applyProtection="1">
      <alignment/>
      <protection/>
    </xf>
    <xf numFmtId="0" fontId="11" fillId="33" borderId="21" xfId="69" applyFont="1" applyFill="1" applyBorder="1" applyAlignment="1" applyProtection="1">
      <alignment horizontal="left"/>
      <protection/>
    </xf>
    <xf numFmtId="1" fontId="14" fillId="37" borderId="35" xfId="69" applyNumberFormat="1" applyFont="1" applyFill="1" applyBorder="1" applyAlignment="1" applyProtection="1">
      <alignment horizontal="right"/>
      <protection/>
    </xf>
    <xf numFmtId="0" fontId="13" fillId="39" borderId="29" xfId="69" applyFont="1" applyFill="1" applyBorder="1" applyAlignment="1" applyProtection="1">
      <alignment horizontal="left" vertical="top" wrapText="1"/>
      <protection/>
    </xf>
    <xf numFmtId="0" fontId="34" fillId="50" borderId="0" xfId="69" applyFont="1" applyFill="1" applyBorder="1" applyAlignment="1" applyProtection="1">
      <alignment vertical="center"/>
      <protection/>
    </xf>
    <xf numFmtId="1" fontId="13" fillId="37" borderId="70" xfId="69" applyNumberFormat="1" applyFont="1" applyFill="1" applyBorder="1" applyAlignment="1" applyProtection="1">
      <alignment vertical="top" wrapText="1"/>
      <protection/>
    </xf>
    <xf numFmtId="1" fontId="13" fillId="37" borderId="35" xfId="69" applyNumberFormat="1" applyFont="1" applyFill="1" applyBorder="1" applyAlignment="1" applyProtection="1">
      <alignment vertical="top" wrapText="1"/>
      <protection/>
    </xf>
    <xf numFmtId="0" fontId="13" fillId="0" borderId="0" xfId="69" applyFont="1" applyAlignment="1" applyProtection="1">
      <alignment vertical="top" wrapText="1"/>
      <protection locked="0"/>
    </xf>
    <xf numFmtId="0" fontId="14" fillId="0" borderId="0" xfId="69" applyFont="1" applyAlignment="1" applyProtection="1">
      <alignment vertical="top" wrapText="1"/>
      <protection/>
    </xf>
    <xf numFmtId="170" fontId="13" fillId="0" borderId="35" xfId="59" applyNumberFormat="1" applyFont="1" applyFill="1" applyBorder="1" applyAlignment="1" applyProtection="1">
      <alignment horizontal="left" vertical="top" wrapText="1"/>
      <protection/>
    </xf>
    <xf numFmtId="170" fontId="13" fillId="0" borderId="42" xfId="59" applyNumberFormat="1" applyFont="1" applyFill="1" applyBorder="1" applyAlignment="1" applyProtection="1">
      <alignment horizontal="left" vertical="top"/>
      <protection/>
    </xf>
    <xf numFmtId="1" fontId="14" fillId="37" borderId="35" xfId="69" applyNumberFormat="1" applyFont="1" applyFill="1" applyBorder="1" applyAlignment="1" applyProtection="1">
      <alignment horizontal="right" vertical="top"/>
      <protection/>
    </xf>
    <xf numFmtId="0" fontId="13" fillId="43" borderId="65" xfId="69" applyFont="1" applyFill="1" applyBorder="1" applyAlignment="1" applyProtection="1">
      <alignment vertical="top"/>
      <protection/>
    </xf>
    <xf numFmtId="0" fontId="13" fillId="48" borderId="71" xfId="69" applyFont="1" applyFill="1" applyBorder="1" applyAlignment="1" applyProtection="1">
      <alignment horizontal="right" vertical="top" wrapText="1"/>
      <protection/>
    </xf>
    <xf numFmtId="0" fontId="13" fillId="48" borderId="65" xfId="69" applyFont="1" applyFill="1" applyBorder="1" applyAlignment="1" applyProtection="1">
      <alignment vertical="top" wrapText="1"/>
      <protection/>
    </xf>
    <xf numFmtId="170" fontId="12" fillId="0" borderId="65" xfId="59" applyNumberFormat="1" applyFont="1" applyFill="1" applyBorder="1" applyAlignment="1" applyProtection="1">
      <alignment vertical="top" wrapText="1"/>
      <protection locked="0"/>
    </xf>
    <xf numFmtId="170" fontId="13" fillId="0" borderId="65" xfId="59" applyNumberFormat="1" applyFont="1" applyFill="1" applyBorder="1" applyAlignment="1" applyProtection="1">
      <alignment vertical="top" wrapText="1"/>
      <protection locked="0"/>
    </xf>
    <xf numFmtId="170" fontId="12" fillId="0" borderId="72" xfId="59" applyNumberFormat="1" applyFont="1" applyFill="1" applyBorder="1" applyAlignment="1" applyProtection="1">
      <alignment vertical="top" wrapText="1"/>
      <protection locked="0"/>
    </xf>
    <xf numFmtId="0" fontId="13" fillId="43" borderId="35" xfId="69" applyFont="1" applyFill="1" applyBorder="1" applyAlignment="1" applyProtection="1">
      <alignment vertical="top"/>
      <protection/>
    </xf>
    <xf numFmtId="170" fontId="13" fillId="0" borderId="65" xfId="59" applyNumberFormat="1" applyFont="1" applyFill="1" applyBorder="1" applyAlignment="1" applyProtection="1">
      <alignment vertical="top"/>
      <protection locked="0"/>
    </xf>
    <xf numFmtId="170" fontId="13" fillId="0" borderId="65" xfId="59" applyNumberFormat="1" applyFont="1" applyFill="1" applyBorder="1" applyAlignment="1" applyProtection="1">
      <alignment vertical="top"/>
      <protection/>
    </xf>
    <xf numFmtId="170" fontId="13" fillId="0" borderId="72" xfId="59" applyNumberFormat="1" applyFont="1" applyFill="1" applyBorder="1" applyAlignment="1" applyProtection="1">
      <alignment vertical="top"/>
      <protection/>
    </xf>
    <xf numFmtId="0" fontId="11" fillId="33" borderId="20" xfId="69" applyFont="1" applyFill="1" applyBorder="1" applyAlignment="1" applyProtection="1">
      <alignment horizontal="right"/>
      <protection/>
    </xf>
    <xf numFmtId="0" fontId="12" fillId="33" borderId="25" xfId="69" applyFont="1" applyFill="1" applyBorder="1" applyAlignment="1" applyProtection="1">
      <alignment horizontal="right" vertical="center"/>
      <protection/>
    </xf>
    <xf numFmtId="1" fontId="13" fillId="37" borderId="69" xfId="69" applyNumberFormat="1" applyFont="1" applyFill="1" applyBorder="1" applyAlignment="1" applyProtection="1">
      <alignment horizontal="right"/>
      <protection/>
    </xf>
    <xf numFmtId="1" fontId="13" fillId="37" borderId="71" xfId="69" applyNumberFormat="1" applyFont="1" applyFill="1" applyBorder="1" applyAlignment="1" applyProtection="1">
      <alignment horizontal="right"/>
      <protection/>
    </xf>
    <xf numFmtId="1" fontId="12" fillId="37" borderId="29" xfId="69" applyNumberFormat="1" applyFont="1" applyFill="1" applyBorder="1" applyAlignment="1" applyProtection="1">
      <alignment horizontal="right"/>
      <protection/>
    </xf>
    <xf numFmtId="170" fontId="13" fillId="0" borderId="42" xfId="59" applyNumberFormat="1" applyFont="1" applyFill="1" applyBorder="1" applyAlignment="1" applyProtection="1">
      <alignment vertical="top" wrapText="1"/>
      <protection/>
    </xf>
    <xf numFmtId="1" fontId="13" fillId="37" borderId="70" xfId="69" applyNumberFormat="1" applyFont="1" applyFill="1" applyBorder="1" applyAlignment="1" applyProtection="1">
      <alignment horizontal="right" vertical="center"/>
      <protection/>
    </xf>
    <xf numFmtId="1" fontId="14" fillId="37" borderId="35" xfId="69" applyNumberFormat="1" applyFont="1" applyFill="1" applyBorder="1" applyAlignment="1" applyProtection="1">
      <alignment vertical="top" wrapText="1"/>
      <protection/>
    </xf>
    <xf numFmtId="170" fontId="14" fillId="0" borderId="42" xfId="59" applyNumberFormat="1" applyFont="1" applyFill="1" applyBorder="1" applyAlignment="1" applyProtection="1">
      <alignment horizontal="right" vertical="top" wrapText="1"/>
      <protection/>
    </xf>
    <xf numFmtId="0" fontId="14" fillId="0" borderId="0" xfId="69" applyFont="1" applyAlignment="1" applyProtection="1">
      <alignment wrapText="1"/>
      <protection locked="0"/>
    </xf>
    <xf numFmtId="170" fontId="14" fillId="0" borderId="72" xfId="59" applyNumberFormat="1" applyFont="1" applyFill="1" applyBorder="1" applyAlignment="1" applyProtection="1">
      <alignment horizontal="right"/>
      <protection/>
    </xf>
    <xf numFmtId="1" fontId="13" fillId="37" borderId="29" xfId="69" applyNumberFormat="1" applyFont="1" applyFill="1" applyBorder="1" applyAlignment="1" applyProtection="1">
      <alignment horizontal="right"/>
      <protection/>
    </xf>
    <xf numFmtId="1" fontId="13" fillId="37" borderId="73" xfId="69" applyNumberFormat="1" applyFont="1" applyFill="1" applyBorder="1" applyAlignment="1" applyProtection="1">
      <alignment horizontal="right" vertical="center"/>
      <protection/>
    </xf>
    <xf numFmtId="0" fontId="13" fillId="37" borderId="29" xfId="69" applyFont="1" applyFill="1" applyBorder="1" applyAlignment="1" applyProtection="1">
      <alignment horizontal="right"/>
      <protection/>
    </xf>
    <xf numFmtId="0" fontId="13" fillId="37" borderId="0" xfId="69" applyFont="1" applyFill="1" applyBorder="1" applyAlignment="1" applyProtection="1">
      <alignment horizontal="right"/>
      <protection/>
    </xf>
    <xf numFmtId="0" fontId="13" fillId="0" borderId="0" xfId="69" applyFont="1" applyFill="1" applyBorder="1" applyAlignment="1" applyProtection="1">
      <alignment horizontal="right"/>
      <protection/>
    </xf>
    <xf numFmtId="0" fontId="13" fillId="0" borderId="0" xfId="69" applyFont="1" applyAlignment="1" applyProtection="1">
      <alignment wrapText="1"/>
      <protection locked="0"/>
    </xf>
    <xf numFmtId="0" fontId="13" fillId="43" borderId="29" xfId="69" applyFont="1" applyFill="1" applyBorder="1" applyAlignment="1" applyProtection="1">
      <alignment horizontal="right"/>
      <protection/>
    </xf>
    <xf numFmtId="0" fontId="13" fillId="43" borderId="0" xfId="69" applyFont="1" applyFill="1" applyBorder="1" applyAlignment="1" applyProtection="1">
      <alignment horizontal="right"/>
      <protection/>
    </xf>
    <xf numFmtId="0" fontId="12" fillId="48" borderId="0" xfId="69" applyFont="1" applyFill="1" applyBorder="1" applyAlignment="1" applyProtection="1">
      <alignment horizontal="right"/>
      <protection/>
    </xf>
    <xf numFmtId="0" fontId="12" fillId="48" borderId="73" xfId="69" applyFont="1" applyFill="1" applyBorder="1" applyAlignment="1" applyProtection="1">
      <alignment horizontal="right"/>
      <protection/>
    </xf>
    <xf numFmtId="0" fontId="12" fillId="48" borderId="29" xfId="69" applyFont="1" applyFill="1" applyBorder="1" applyAlignment="1" applyProtection="1">
      <alignment horizontal="right"/>
      <protection/>
    </xf>
    <xf numFmtId="0" fontId="12" fillId="39" borderId="0" xfId="69" applyFont="1" applyFill="1" applyAlignment="1" applyProtection="1">
      <alignment horizontal="right"/>
      <protection/>
    </xf>
    <xf numFmtId="0" fontId="12" fillId="49" borderId="0" xfId="69" applyFont="1" applyFill="1" applyBorder="1" applyAlignment="1" applyProtection="1">
      <alignment horizontal="right"/>
      <protection/>
    </xf>
    <xf numFmtId="0" fontId="13" fillId="49" borderId="0" xfId="69" applyFont="1" applyFill="1" applyBorder="1" applyAlignment="1" applyProtection="1">
      <alignment horizontal="right"/>
      <protection/>
    </xf>
    <xf numFmtId="0" fontId="12" fillId="33" borderId="0" xfId="69" applyFont="1" applyFill="1" applyAlignment="1" applyProtection="1">
      <alignment horizontal="right" wrapText="1"/>
      <protection/>
    </xf>
    <xf numFmtId="0" fontId="13" fillId="33" borderId="0" xfId="69" applyFont="1" applyFill="1" applyAlignment="1" applyProtection="1">
      <alignment horizontal="right"/>
      <protection/>
    </xf>
    <xf numFmtId="1" fontId="13" fillId="37" borderId="69" xfId="69" applyNumberFormat="1" applyFont="1" applyFill="1" applyBorder="1" applyAlignment="1" applyProtection="1">
      <alignment vertical="center"/>
      <protection/>
    </xf>
    <xf numFmtId="1" fontId="13" fillId="37" borderId="40" xfId="69" applyNumberFormat="1" applyFont="1" applyFill="1" applyBorder="1" applyAlignment="1" applyProtection="1">
      <alignment vertical="center"/>
      <protection/>
    </xf>
    <xf numFmtId="170" fontId="13" fillId="0" borderId="59" xfId="59" applyNumberFormat="1" applyFont="1" applyFill="1" applyBorder="1" applyAlignment="1" applyProtection="1">
      <alignment/>
      <protection/>
    </xf>
    <xf numFmtId="170" fontId="13" fillId="0" borderId="59" xfId="59" applyNumberFormat="1" applyFont="1" applyBorder="1" applyAlignment="1" applyProtection="1">
      <alignment/>
      <protection locked="0"/>
    </xf>
    <xf numFmtId="170" fontId="13" fillId="0" borderId="42" xfId="59" applyNumberFormat="1" applyFont="1" applyFill="1" applyBorder="1" applyAlignment="1" applyProtection="1">
      <alignment horizontal="right" vertical="top" wrapText="1"/>
      <protection locked="0"/>
    </xf>
    <xf numFmtId="170" fontId="14" fillId="0" borderId="42" xfId="59" applyNumberFormat="1" applyFont="1" applyFill="1" applyBorder="1" applyAlignment="1" applyProtection="1">
      <alignment horizontal="right" vertical="top" wrapText="1"/>
      <protection locked="0"/>
    </xf>
    <xf numFmtId="170" fontId="13" fillId="0" borderId="42" xfId="59" applyNumberFormat="1" applyFont="1" applyFill="1" applyBorder="1" applyAlignment="1" applyProtection="1">
      <alignment vertical="center"/>
      <protection locked="0"/>
    </xf>
    <xf numFmtId="170" fontId="14" fillId="0" borderId="42" xfId="59" applyNumberFormat="1" applyFont="1" applyFill="1" applyBorder="1" applyAlignment="1" applyProtection="1">
      <alignment vertical="center"/>
      <protection locked="0"/>
    </xf>
    <xf numFmtId="170" fontId="13" fillId="0" borderId="72" xfId="59" applyNumberFormat="1" applyFont="1" applyFill="1" applyBorder="1" applyAlignment="1" applyProtection="1">
      <alignment/>
      <protection locked="0"/>
    </xf>
    <xf numFmtId="0" fontId="13" fillId="0" borderId="0" xfId="69" applyFont="1" applyAlignment="1" applyProtection="1">
      <alignment horizontal="left" vertical="top"/>
      <protection/>
    </xf>
    <xf numFmtId="170" fontId="13" fillId="49" borderId="0" xfId="69" applyNumberFormat="1" applyFont="1" applyFill="1" applyBorder="1" applyAlignment="1" applyProtection="1">
      <alignment horizontal="right"/>
      <protection/>
    </xf>
    <xf numFmtId="172" fontId="13" fillId="39" borderId="0" xfId="66" applyNumberFormat="1" applyFont="1" applyFill="1" applyBorder="1" applyAlignment="1" applyProtection="1">
      <alignment horizontal="right" vertical="top"/>
      <protection/>
    </xf>
    <xf numFmtId="172" fontId="13" fillId="39" borderId="26" xfId="66" applyNumberFormat="1" applyFont="1" applyFill="1" applyBorder="1" applyAlignment="1" applyProtection="1">
      <alignment horizontal="right" vertical="top"/>
      <protection/>
    </xf>
    <xf numFmtId="172" fontId="13" fillId="39" borderId="26" xfId="66" applyNumberFormat="1" applyFont="1" applyFill="1" applyBorder="1" applyAlignment="1" applyProtection="1">
      <alignment horizontal="right" vertical="center"/>
      <protection/>
    </xf>
    <xf numFmtId="172" fontId="13" fillId="39" borderId="0" xfId="66" applyNumberFormat="1" applyFont="1" applyFill="1" applyBorder="1" applyAlignment="1" applyProtection="1">
      <alignment horizontal="right" vertical="center"/>
      <protection/>
    </xf>
    <xf numFmtId="0" fontId="12" fillId="39" borderId="0" xfId="69" applyFont="1" applyFill="1" applyAlignment="1" applyProtection="1">
      <alignment horizontal="left"/>
      <protection/>
    </xf>
    <xf numFmtId="0" fontId="13" fillId="0" borderId="0" xfId="69" applyFont="1" applyAlignment="1" applyProtection="1">
      <alignment/>
      <protection/>
    </xf>
    <xf numFmtId="0" fontId="0" fillId="0" borderId="0" xfId="69" applyAlignment="1">
      <alignment/>
      <protection/>
    </xf>
    <xf numFmtId="167" fontId="5" fillId="0" borderId="61" xfId="0" applyNumberFormat="1" applyFont="1" applyBorder="1" applyAlignment="1">
      <alignment horizontal="right" vertical="center"/>
    </xf>
    <xf numFmtId="164" fontId="0" fillId="0" borderId="0" xfId="0" applyFont="1" applyFill="1" applyBorder="1" applyAlignment="1">
      <alignment vertical="center"/>
    </xf>
    <xf numFmtId="38" fontId="0" fillId="0" borderId="23" xfId="49" applyNumberFormat="1" applyFont="1" applyBorder="1" applyAlignment="1" quotePrefix="1">
      <alignment/>
    </xf>
    <xf numFmtId="166" fontId="0" fillId="0" borderId="0" xfId="0" applyNumberFormat="1" applyFont="1" applyBorder="1" applyAlignment="1" applyProtection="1" quotePrefix="1">
      <alignment vertical="center"/>
      <protection/>
    </xf>
    <xf numFmtId="165" fontId="0" fillId="0" borderId="0" xfId="65" applyNumberFormat="1" applyFont="1" applyAlignment="1">
      <alignment/>
    </xf>
    <xf numFmtId="164" fontId="3" fillId="0" borderId="0" xfId="0" applyFont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3" fillId="0" borderId="24" xfId="0" applyFont="1" applyBorder="1" applyAlignment="1" applyProtection="1">
      <alignment horizontal="right" vertical="center"/>
      <protection/>
    </xf>
    <xf numFmtId="168" fontId="7" fillId="0" borderId="0" xfId="0" applyNumberFormat="1" applyFont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164" fontId="7" fillId="0" borderId="24" xfId="0" applyFont="1" applyBorder="1" applyAlignment="1">
      <alignment horizontal="right" vertical="center"/>
    </xf>
    <xf numFmtId="0" fontId="12" fillId="37" borderId="21" xfId="69" applyFont="1" applyFill="1" applyBorder="1" applyAlignment="1" applyProtection="1">
      <alignment horizontal="left" vertical="center"/>
      <protection/>
    </xf>
    <xf numFmtId="0" fontId="0" fillId="37" borderId="21" xfId="69" applyFill="1" applyBorder="1" applyAlignment="1">
      <alignment horizontal="left" vertical="center"/>
      <protection/>
    </xf>
    <xf numFmtId="0" fontId="12" fillId="43" borderId="29" xfId="69" applyFont="1" applyFill="1" applyBorder="1" applyAlignment="1" applyProtection="1">
      <alignment horizontal="left" vertical="center"/>
      <protection/>
    </xf>
    <xf numFmtId="0" fontId="0" fillId="43" borderId="29" xfId="69" applyFill="1" applyBorder="1" applyAlignment="1">
      <alignment horizontal="left" vertical="center"/>
      <protection/>
    </xf>
    <xf numFmtId="164" fontId="6" fillId="0" borderId="57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top"/>
    </xf>
  </cellXfs>
  <cellStyles count="8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" xfId="49"/>
    <cellStyle name="Comma [0]" xfId="50"/>
    <cellStyle name="Eingabe" xfId="51"/>
    <cellStyle name="Eingabe 2" xfId="52"/>
    <cellStyle name="Ergebnis" xfId="53"/>
    <cellStyle name="Ergebnis 2" xfId="54"/>
    <cellStyle name="Erklärender Text" xfId="55"/>
    <cellStyle name="Erklärender Text 2" xfId="56"/>
    <cellStyle name="Gut" xfId="57"/>
    <cellStyle name="Gut 2" xfId="58"/>
    <cellStyle name="Komma 2" xfId="59"/>
    <cellStyle name="Neutral" xfId="60"/>
    <cellStyle name="Neutral 2" xfId="61"/>
    <cellStyle name="Normal_C 1999 - B 2000 (NOUVEAU)" xfId="62"/>
    <cellStyle name="Notiz" xfId="63"/>
    <cellStyle name="Notiz 2" xfId="64"/>
    <cellStyle name="Percent" xfId="65"/>
    <cellStyle name="Prozent 2" xfId="66"/>
    <cellStyle name="Schlecht" xfId="67"/>
    <cellStyle name="Schlecht 2" xfId="68"/>
    <cellStyle name="Standard 2" xfId="69"/>
    <cellStyle name="Standard 2 2" xfId="70"/>
    <cellStyle name="Standard 3" xfId="71"/>
    <cellStyle name="Standard 3 2" xfId="72"/>
    <cellStyle name="Standard 4" xfId="73"/>
    <cellStyle name="Standard 5" xfId="74"/>
    <cellStyle name="Titel3" xfId="75"/>
    <cellStyle name="Überschrift" xfId="76"/>
    <cellStyle name="Überschrift 1" xfId="77"/>
    <cellStyle name="Überschrift 1 2" xfId="78"/>
    <cellStyle name="Überschrift 2" xfId="79"/>
    <cellStyle name="Überschrift 2 2" xfId="80"/>
    <cellStyle name="Überschrift 3" xfId="81"/>
    <cellStyle name="Überschrift 3 2" xfId="82"/>
    <cellStyle name="Überschrift 4" xfId="83"/>
    <cellStyle name="Überschrift 4 2" xfId="84"/>
    <cellStyle name="Überschrift 5" xfId="85"/>
    <cellStyle name="Verknüpfte Zelle" xfId="86"/>
    <cellStyle name="Verknüpfte Zelle 2" xfId="87"/>
    <cellStyle name="Currency" xfId="88"/>
    <cellStyle name="Currency [0]" xfId="89"/>
    <cellStyle name="Warnender Text" xfId="90"/>
    <cellStyle name="Warnender Text 2" xfId="91"/>
    <cellStyle name="Zelle überprüfen" xfId="92"/>
    <cellStyle name="Zelle überprüfen 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86"/>
  <sheetViews>
    <sheetView tabSelected="1" zoomScale="115" zoomScaleNormal="115" zoomScalePageLayoutView="0" workbookViewId="0" topLeftCell="A1">
      <selection activeCell="F8" sqref="F8"/>
    </sheetView>
  </sheetViews>
  <sheetFormatPr defaultColWidth="11.421875" defaultRowHeight="12.75"/>
  <cols>
    <col min="1" max="1" width="16.7109375" style="252" customWidth="1"/>
    <col min="2" max="2" width="4.28125" style="252" customWidth="1"/>
    <col min="3" max="3" width="39.7109375" style="252" customWidth="1"/>
    <col min="4" max="4" width="12.7109375" style="252" customWidth="1"/>
    <col min="5" max="5" width="11.421875" style="252" customWidth="1"/>
    <col min="6" max="6" width="12.7109375" style="252" customWidth="1"/>
    <col min="7" max="16384" width="11.421875" style="252" customWidth="1"/>
  </cols>
  <sheetData>
    <row r="1" spans="1:55" s="243" customFormat="1" ht="18" customHeight="1">
      <c r="A1" s="237" t="s">
        <v>220</v>
      </c>
      <c r="B1" s="238" t="s">
        <v>221</v>
      </c>
      <c r="C1" s="239" t="s">
        <v>21</v>
      </c>
      <c r="D1" s="241" t="s">
        <v>22</v>
      </c>
      <c r="E1" s="240" t="s">
        <v>105</v>
      </c>
      <c r="F1" s="241" t="s">
        <v>22</v>
      </c>
      <c r="G1" s="240" t="s">
        <v>105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7" s="249" customFormat="1" ht="15" customHeight="1">
      <c r="A2" s="244"/>
      <c r="B2" s="245"/>
      <c r="C2" s="246" t="s">
        <v>222</v>
      </c>
      <c r="D2" s="248">
        <v>2011</v>
      </c>
      <c r="E2" s="247">
        <v>2012</v>
      </c>
      <c r="F2" s="248">
        <v>2012</v>
      </c>
      <c r="G2" s="247">
        <v>2013</v>
      </c>
    </row>
    <row r="3" spans="1:7" ht="15" customHeight="1">
      <c r="A3" s="609" t="s">
        <v>223</v>
      </c>
      <c r="B3" s="610"/>
      <c r="C3" s="610"/>
      <c r="D3" s="251"/>
      <c r="F3" s="250"/>
      <c r="G3" s="253" t="s">
        <v>103</v>
      </c>
    </row>
    <row r="4" spans="1:7" s="260" customFormat="1" ht="12.75" customHeight="1">
      <c r="A4" s="254">
        <v>30</v>
      </c>
      <c r="B4" s="255"/>
      <c r="C4" s="256" t="s">
        <v>29</v>
      </c>
      <c r="D4" s="257">
        <v>7369400.9</v>
      </c>
      <c r="E4" s="257">
        <v>4663146.94</v>
      </c>
      <c r="F4" s="258">
        <v>4782409.41</v>
      </c>
      <c r="G4" s="259">
        <v>4827007.19</v>
      </c>
    </row>
    <row r="5" spans="1:7" s="260" customFormat="1" ht="12.75" customHeight="1">
      <c r="A5" s="261">
        <v>31</v>
      </c>
      <c r="B5" s="262"/>
      <c r="C5" s="263" t="s">
        <v>224</v>
      </c>
      <c r="D5" s="264">
        <v>2693614.8</v>
      </c>
      <c r="E5" s="264">
        <v>2513591.77</v>
      </c>
      <c r="F5" s="266">
        <v>2742025.9</v>
      </c>
      <c r="G5" s="267">
        <v>2633519.28</v>
      </c>
    </row>
    <row r="6" spans="1:7" s="260" customFormat="1" ht="12.75" customHeight="1">
      <c r="A6" s="268" t="s">
        <v>32</v>
      </c>
      <c r="B6" s="269"/>
      <c r="C6" s="270" t="s">
        <v>225</v>
      </c>
      <c r="D6" s="271">
        <v>192707</v>
      </c>
      <c r="E6" s="271">
        <v>202022</v>
      </c>
      <c r="F6" s="272">
        <v>194592.14</v>
      </c>
      <c r="G6" s="273">
        <v>202593.45</v>
      </c>
    </row>
    <row r="7" spans="1:7" s="260" customFormat="1" ht="12.75" customHeight="1">
      <c r="A7" s="268" t="s">
        <v>226</v>
      </c>
      <c r="B7" s="269"/>
      <c r="C7" s="270" t="s">
        <v>227</v>
      </c>
      <c r="D7" s="271">
        <v>6103</v>
      </c>
      <c r="E7" s="271">
        <v>2475</v>
      </c>
      <c r="F7" s="272">
        <v>-15285</v>
      </c>
      <c r="G7" s="273">
        <v>3557.7</v>
      </c>
    </row>
    <row r="8" spans="1:7" s="260" customFormat="1" ht="12.75" customHeight="1">
      <c r="A8" s="274">
        <v>330</v>
      </c>
      <c r="B8" s="262"/>
      <c r="C8" s="263" t="s">
        <v>228</v>
      </c>
      <c r="D8" s="275">
        <v>477900.9</v>
      </c>
      <c r="E8" s="275">
        <v>437221.1</v>
      </c>
      <c r="F8" s="266">
        <v>454103.66</v>
      </c>
      <c r="G8" s="276">
        <v>457275.69</v>
      </c>
    </row>
    <row r="9" spans="1:7" s="260" customFormat="1" ht="12.75" customHeight="1">
      <c r="A9" s="274">
        <v>332</v>
      </c>
      <c r="B9" s="262"/>
      <c r="C9" s="263" t="s">
        <v>229</v>
      </c>
      <c r="D9" s="275">
        <v>23168.47</v>
      </c>
      <c r="E9" s="275">
        <v>25574.9</v>
      </c>
      <c r="F9" s="266">
        <v>28316.63</v>
      </c>
      <c r="G9" s="276">
        <v>25766.37</v>
      </c>
    </row>
    <row r="10" spans="1:7" s="260" customFormat="1" ht="12.75" customHeight="1">
      <c r="A10" s="274">
        <v>339</v>
      </c>
      <c r="B10" s="262"/>
      <c r="C10" s="263" t="s">
        <v>230</v>
      </c>
      <c r="D10" s="275">
        <v>0</v>
      </c>
      <c r="E10" s="275">
        <v>0</v>
      </c>
      <c r="F10" s="266">
        <v>0</v>
      </c>
      <c r="G10" s="276">
        <v>0</v>
      </c>
    </row>
    <row r="11" spans="1:7" s="260" customFormat="1" ht="12.75" customHeight="1">
      <c r="A11" s="261">
        <v>350</v>
      </c>
      <c r="B11" s="262"/>
      <c r="C11" s="263" t="s">
        <v>231</v>
      </c>
      <c r="D11" s="275">
        <v>55473.700000000004</v>
      </c>
      <c r="E11" s="275">
        <v>3854.2000000000007</v>
      </c>
      <c r="F11" s="275">
        <v>38305.53</v>
      </c>
      <c r="G11" s="277">
        <v>6133.82</v>
      </c>
    </row>
    <row r="12" spans="1:7" s="285" customFormat="1" ht="12.75">
      <c r="A12" s="278">
        <v>351</v>
      </c>
      <c r="B12" s="279"/>
      <c r="C12" s="280" t="s">
        <v>232</v>
      </c>
      <c r="D12" s="282">
        <v>15652.4</v>
      </c>
      <c r="E12" s="282">
        <v>16629</v>
      </c>
      <c r="F12" s="283">
        <v>27451</v>
      </c>
      <c r="G12" s="284">
        <v>32186</v>
      </c>
    </row>
    <row r="13" spans="1:7" s="260" customFormat="1" ht="12.75" customHeight="1">
      <c r="A13" s="261">
        <v>36</v>
      </c>
      <c r="B13" s="262"/>
      <c r="C13" s="263" t="s">
        <v>233</v>
      </c>
      <c r="D13" s="275">
        <v>4197364.68</v>
      </c>
      <c r="E13" s="264">
        <v>5286441.8</v>
      </c>
      <c r="F13" s="286">
        <v>5213950.72</v>
      </c>
      <c r="G13" s="276">
        <v>5435767.72</v>
      </c>
    </row>
    <row r="14" spans="1:7" s="260" customFormat="1" ht="12.75">
      <c r="A14" s="287" t="s">
        <v>234</v>
      </c>
      <c r="B14" s="262"/>
      <c r="C14" s="288" t="s">
        <v>235</v>
      </c>
      <c r="D14" s="289">
        <v>291299</v>
      </c>
      <c r="E14" s="289">
        <v>622088.9</v>
      </c>
      <c r="F14" s="291">
        <v>582912.71731</v>
      </c>
      <c r="G14" s="273">
        <v>541380.3</v>
      </c>
    </row>
    <row r="15" spans="1:7" s="260" customFormat="1" ht="12.75">
      <c r="A15" s="287" t="s">
        <v>236</v>
      </c>
      <c r="B15" s="262"/>
      <c r="C15" s="288" t="s">
        <v>237</v>
      </c>
      <c r="D15" s="289">
        <v>30897.48303</v>
      </c>
      <c r="E15" s="289">
        <v>171842.3</v>
      </c>
      <c r="F15" s="291">
        <v>174866.70466</v>
      </c>
      <c r="G15" s="273">
        <v>197732.7</v>
      </c>
    </row>
    <row r="16" spans="1:7" s="297" customFormat="1" ht="26.25" customHeight="1">
      <c r="A16" s="287" t="s">
        <v>238</v>
      </c>
      <c r="B16" s="292"/>
      <c r="C16" s="288" t="s">
        <v>239</v>
      </c>
      <c r="D16" s="293">
        <f>-99.79+0+235349.6</f>
        <v>235249.81</v>
      </c>
      <c r="E16" s="294">
        <f>100+0+168559.3</f>
        <v>168659.3</v>
      </c>
      <c r="F16" s="295">
        <f>147.45+8.16+232757.23</f>
        <v>232912.84</v>
      </c>
      <c r="G16" s="296">
        <v>161967.883</v>
      </c>
    </row>
    <row r="17" spans="1:7" s="299" customFormat="1" ht="12.75">
      <c r="A17" s="261">
        <v>37</v>
      </c>
      <c r="B17" s="262"/>
      <c r="C17" s="263" t="s">
        <v>240</v>
      </c>
      <c r="D17" s="290">
        <v>628148.3</v>
      </c>
      <c r="E17" s="289">
        <v>627812</v>
      </c>
      <c r="F17" s="286">
        <v>653620.4</v>
      </c>
      <c r="G17" s="298">
        <v>644945</v>
      </c>
    </row>
    <row r="18" spans="1:7" s="299" customFormat="1" ht="12.75">
      <c r="A18" s="274" t="s">
        <v>241</v>
      </c>
      <c r="B18" s="262"/>
      <c r="C18" s="263" t="s">
        <v>242</v>
      </c>
      <c r="D18" s="289">
        <v>351126.48596</v>
      </c>
      <c r="E18" s="289">
        <v>358653</v>
      </c>
      <c r="F18" s="291">
        <v>374798.07747</v>
      </c>
      <c r="G18" s="300">
        <v>376330</v>
      </c>
    </row>
    <row r="19" spans="1:7" s="299" customFormat="1" ht="12.75">
      <c r="A19" s="274" t="s">
        <v>243</v>
      </c>
      <c r="B19" s="262"/>
      <c r="C19" s="263" t="s">
        <v>244</v>
      </c>
      <c r="D19" s="289">
        <v>193631.80381</v>
      </c>
      <c r="E19" s="289">
        <v>194195</v>
      </c>
      <c r="F19" s="291">
        <v>202763.38551</v>
      </c>
      <c r="G19" s="300">
        <v>203840</v>
      </c>
    </row>
    <row r="20" spans="1:7" s="260" customFormat="1" ht="12.75" customHeight="1">
      <c r="A20" s="301">
        <v>39</v>
      </c>
      <c r="B20" s="302"/>
      <c r="C20" s="303" t="s">
        <v>245</v>
      </c>
      <c r="D20" s="306">
        <v>0</v>
      </c>
      <c r="E20" s="304">
        <v>0</v>
      </c>
      <c r="F20" s="307">
        <v>0</v>
      </c>
      <c r="G20" s="308">
        <v>0</v>
      </c>
    </row>
    <row r="21" spans="1:7" ht="12.75" customHeight="1">
      <c r="A21" s="309"/>
      <c r="B21" s="309"/>
      <c r="C21" s="310" t="s">
        <v>246</v>
      </c>
      <c r="D21" s="311">
        <f>D4+D5+SUM(D8:D13)+D17</f>
        <v>15460724.149999999</v>
      </c>
      <c r="E21" s="311">
        <f>E4+E5+SUM(E8:E13)+E17</f>
        <v>13574271.71</v>
      </c>
      <c r="F21" s="311">
        <f>F4+F5+SUM(F8:F13)+F17</f>
        <v>13940183.250000002</v>
      </c>
      <c r="G21" s="311">
        <f>G4+G5+SUM(G8:G13)+G17</f>
        <v>14062601.07</v>
      </c>
    </row>
    <row r="22" spans="1:7" s="260" customFormat="1" ht="12.75" customHeight="1">
      <c r="A22" s="274" t="s">
        <v>247</v>
      </c>
      <c r="B22" s="262"/>
      <c r="C22" s="263" t="s">
        <v>248</v>
      </c>
      <c r="D22" s="275">
        <f>4714297+1256898</f>
        <v>5971195</v>
      </c>
      <c r="E22" s="275">
        <f>4394108+1141800</f>
        <v>5535908</v>
      </c>
      <c r="F22" s="312">
        <f>4640219.5+1130845.8</f>
        <v>5771065.3</v>
      </c>
      <c r="G22" s="276">
        <f>4740000+1204400</f>
        <v>5944400</v>
      </c>
    </row>
    <row r="23" spans="1:7" s="260" customFormat="1" ht="12.75" customHeight="1">
      <c r="A23" s="274" t="s">
        <v>249</v>
      </c>
      <c r="B23" s="262"/>
      <c r="C23" s="263" t="s">
        <v>250</v>
      </c>
      <c r="D23" s="275">
        <f>197815+302366</f>
        <v>500181</v>
      </c>
      <c r="E23" s="275">
        <f>200600+299240</f>
        <v>499840</v>
      </c>
      <c r="F23" s="312">
        <f>204627.4+304920.1</f>
        <v>509547.5</v>
      </c>
      <c r="G23" s="276">
        <f>210600+307250</f>
        <v>517850</v>
      </c>
    </row>
    <row r="24" spans="1:7" s="313" customFormat="1" ht="12.75" customHeight="1">
      <c r="A24" s="261">
        <v>41</v>
      </c>
      <c r="B24" s="262"/>
      <c r="C24" s="263" t="s">
        <v>251</v>
      </c>
      <c r="D24" s="275">
        <v>373468.06</v>
      </c>
      <c r="E24" s="275">
        <v>81778</v>
      </c>
      <c r="F24" s="312">
        <v>201024.7</v>
      </c>
      <c r="G24" s="276">
        <v>196792</v>
      </c>
    </row>
    <row r="25" spans="1:7" s="260" customFormat="1" ht="12.75" customHeight="1">
      <c r="A25" s="314">
        <v>42</v>
      </c>
      <c r="B25" s="315"/>
      <c r="C25" s="263" t="s">
        <v>252</v>
      </c>
      <c r="D25" s="275">
        <v>2614914.8</v>
      </c>
      <c r="E25" s="275">
        <v>2685321.6</v>
      </c>
      <c r="F25" s="266">
        <v>2723747.2</v>
      </c>
      <c r="G25" s="276">
        <v>2717450.0249999994</v>
      </c>
    </row>
    <row r="26" spans="1:7" s="318" customFormat="1" ht="12.75" customHeight="1">
      <c r="A26" s="278">
        <v>430</v>
      </c>
      <c r="B26" s="262"/>
      <c r="C26" s="263" t="s">
        <v>253</v>
      </c>
      <c r="D26" s="316">
        <v>220824</v>
      </c>
      <c r="E26" s="316">
        <v>179072</v>
      </c>
      <c r="F26" s="317">
        <v>235444.6</v>
      </c>
      <c r="G26" s="298">
        <v>174421.8</v>
      </c>
    </row>
    <row r="27" spans="1:7" s="318" customFormat="1" ht="12.75" customHeight="1">
      <c r="A27" s="278">
        <v>431</v>
      </c>
      <c r="B27" s="262"/>
      <c r="C27" s="263" t="s">
        <v>254</v>
      </c>
      <c r="D27" s="316">
        <v>12266</v>
      </c>
      <c r="E27" s="316">
        <v>12322</v>
      </c>
      <c r="F27" s="317">
        <v>9581.6</v>
      </c>
      <c r="G27" s="298">
        <v>10298.1</v>
      </c>
    </row>
    <row r="28" spans="1:7" s="318" customFormat="1" ht="12.75" customHeight="1">
      <c r="A28" s="278">
        <v>432</v>
      </c>
      <c r="B28" s="262"/>
      <c r="C28" s="263" t="s">
        <v>255</v>
      </c>
      <c r="D28" s="316">
        <v>1521</v>
      </c>
      <c r="E28" s="316"/>
      <c r="F28" s="317">
        <v>1167.9</v>
      </c>
      <c r="G28" s="298">
        <v>0</v>
      </c>
    </row>
    <row r="29" spans="1:7" s="318" customFormat="1" ht="12.75" customHeight="1">
      <c r="A29" s="278">
        <v>439</v>
      </c>
      <c r="B29" s="262"/>
      <c r="C29" s="263" t="s">
        <v>256</v>
      </c>
      <c r="D29" s="316">
        <v>59520.9</v>
      </c>
      <c r="E29" s="316">
        <v>69979</v>
      </c>
      <c r="F29" s="317">
        <v>64102.6</v>
      </c>
      <c r="G29" s="298">
        <v>0</v>
      </c>
    </row>
    <row r="30" spans="1:7" s="260" customFormat="1" ht="25.5">
      <c r="A30" s="278">
        <v>450</v>
      </c>
      <c r="B30" s="279"/>
      <c r="C30" s="280" t="s">
        <v>257</v>
      </c>
      <c r="D30" s="264">
        <v>2557.4</v>
      </c>
      <c r="E30" s="264">
        <v>191987.363</v>
      </c>
      <c r="F30" s="264">
        <v>110439.4</v>
      </c>
      <c r="G30" s="319">
        <v>82563.496</v>
      </c>
    </row>
    <row r="31" spans="1:7" s="285" customFormat="1" ht="25.5">
      <c r="A31" s="278">
        <v>451</v>
      </c>
      <c r="B31" s="279"/>
      <c r="C31" s="280" t="s">
        <v>258</v>
      </c>
      <c r="D31" s="281">
        <v>0</v>
      </c>
      <c r="E31" s="281">
        <v>0</v>
      </c>
      <c r="F31" s="320">
        <v>0</v>
      </c>
      <c r="G31" s="321">
        <v>0</v>
      </c>
    </row>
    <row r="32" spans="1:7" s="260" customFormat="1" ht="12.75" customHeight="1">
      <c r="A32" s="261">
        <v>46</v>
      </c>
      <c r="B32" s="262"/>
      <c r="C32" s="263" t="s">
        <v>259</v>
      </c>
      <c r="D32" s="275">
        <v>3022311.99</v>
      </c>
      <c r="E32" s="275">
        <v>3339834</v>
      </c>
      <c r="F32" s="266">
        <v>3432659.2</v>
      </c>
      <c r="G32" s="276">
        <v>3519723.438</v>
      </c>
    </row>
    <row r="33" spans="1:7" s="285" customFormat="1" ht="12.75" customHeight="1">
      <c r="A33" s="322" t="s">
        <v>260</v>
      </c>
      <c r="B33" s="269"/>
      <c r="C33" s="270" t="s">
        <v>261</v>
      </c>
      <c r="D33" s="271">
        <v>81945.6</v>
      </c>
      <c r="E33" s="275">
        <v>55447.4</v>
      </c>
      <c r="F33" s="266">
        <v>59225</v>
      </c>
      <c r="G33" s="273">
        <v>52874.5</v>
      </c>
    </row>
    <row r="34" spans="1:7" s="260" customFormat="1" ht="15" customHeight="1">
      <c r="A34" s="261">
        <v>47</v>
      </c>
      <c r="B34" s="262"/>
      <c r="C34" s="263" t="s">
        <v>240</v>
      </c>
      <c r="D34" s="275">
        <v>628099.29</v>
      </c>
      <c r="E34" s="275">
        <v>627812</v>
      </c>
      <c r="F34" s="266">
        <v>653620.4</v>
      </c>
      <c r="G34" s="276">
        <v>644945</v>
      </c>
    </row>
    <row r="35" spans="1:7" s="260" customFormat="1" ht="15" customHeight="1">
      <c r="A35" s="301">
        <v>49</v>
      </c>
      <c r="B35" s="302"/>
      <c r="C35" s="303" t="s">
        <v>262</v>
      </c>
      <c r="D35" s="306">
        <v>0</v>
      </c>
      <c r="E35" s="304">
        <v>0</v>
      </c>
      <c r="F35" s="307">
        <v>0</v>
      </c>
      <c r="G35" s="308">
        <v>0</v>
      </c>
    </row>
    <row r="36" spans="1:7" s="328" customFormat="1" ht="13.5" customHeight="1">
      <c r="A36" s="324"/>
      <c r="B36" s="325"/>
      <c r="C36" s="326" t="s">
        <v>263</v>
      </c>
      <c r="D36" s="327">
        <f>D22+D23+D24+D25+D26+D27+D28+D29+D30+D31+D32+D34</f>
        <v>13406859.440000001</v>
      </c>
      <c r="E36" s="327">
        <f>E22+E23+E24+E25+E26+E27+E28+E29+E30+E31+E32+E34</f>
        <v>13223853.963</v>
      </c>
      <c r="F36" s="327">
        <f>F22+F23+F24+F25+F26+F27+F28+F29+F30+F31+F32+F34</f>
        <v>13712400.4</v>
      </c>
      <c r="G36" s="327">
        <f>G22+G23+G24+G25+G26+G27+G28+G29+G30+G31+G32+G34</f>
        <v>13808443.858999997</v>
      </c>
    </row>
    <row r="37" spans="1:7" s="242" customFormat="1" ht="15" customHeight="1">
      <c r="A37" s="324"/>
      <c r="B37" s="325"/>
      <c r="C37" s="326" t="s">
        <v>264</v>
      </c>
      <c r="D37" s="327">
        <f>D36-D21</f>
        <v>-2053864.7099999972</v>
      </c>
      <c r="E37" s="327">
        <f>E36-E21</f>
        <v>-350417.7470000014</v>
      </c>
      <c r="F37" s="327">
        <f>F36-F21</f>
        <v>-227782.8500000015</v>
      </c>
      <c r="G37" s="327">
        <f>G36-G21</f>
        <v>-254157.21100000292</v>
      </c>
    </row>
    <row r="38" spans="1:7" s="285" customFormat="1" ht="15" customHeight="1">
      <c r="A38" s="274">
        <v>340</v>
      </c>
      <c r="B38" s="262"/>
      <c r="C38" s="263" t="s">
        <v>265</v>
      </c>
      <c r="D38" s="275">
        <v>138921.3</v>
      </c>
      <c r="E38" s="264">
        <v>148569.646</v>
      </c>
      <c r="F38" s="286">
        <v>138000.3</v>
      </c>
      <c r="G38" s="276">
        <v>144558.7</v>
      </c>
    </row>
    <row r="39" spans="1:7" s="285" customFormat="1" ht="15" customHeight="1">
      <c r="A39" s="274">
        <v>341</v>
      </c>
      <c r="B39" s="262"/>
      <c r="C39" s="263" t="s">
        <v>266</v>
      </c>
      <c r="D39" s="275">
        <v>23736</v>
      </c>
      <c r="E39" s="275">
        <v>616</v>
      </c>
      <c r="F39" s="266">
        <v>4697.4</v>
      </c>
      <c r="G39" s="276">
        <v>342.3</v>
      </c>
    </row>
    <row r="40" spans="1:7" s="285" customFormat="1" ht="15" customHeight="1">
      <c r="A40" s="274">
        <v>342</v>
      </c>
      <c r="B40" s="262"/>
      <c r="C40" s="263" t="s">
        <v>267</v>
      </c>
      <c r="D40" s="275">
        <v>456</v>
      </c>
      <c r="E40" s="275">
        <v>705</v>
      </c>
      <c r="F40" s="266">
        <v>459.6</v>
      </c>
      <c r="G40" s="276">
        <v>695</v>
      </c>
    </row>
    <row r="41" spans="1:7" s="285" customFormat="1" ht="15" customHeight="1">
      <c r="A41" s="274">
        <v>343</v>
      </c>
      <c r="B41" s="262"/>
      <c r="C41" s="263" t="s">
        <v>268</v>
      </c>
      <c r="D41" s="275">
        <v>3797</v>
      </c>
      <c r="E41" s="275">
        <v>5165</v>
      </c>
      <c r="F41" s="266">
        <v>3870.7</v>
      </c>
      <c r="G41" s="276">
        <v>6905</v>
      </c>
    </row>
    <row r="42" spans="1:7" s="285" customFormat="1" ht="15" customHeight="1">
      <c r="A42" s="274">
        <v>344</v>
      </c>
      <c r="B42" s="262"/>
      <c r="C42" s="263" t="s">
        <v>269</v>
      </c>
      <c r="D42" s="275">
        <v>43192</v>
      </c>
      <c r="E42" s="275">
        <v>0</v>
      </c>
      <c r="F42" s="266">
        <v>67743.2</v>
      </c>
      <c r="G42" s="276">
        <v>0</v>
      </c>
    </row>
    <row r="43" spans="1:7" s="285" customFormat="1" ht="15" customHeight="1">
      <c r="A43" s="274">
        <v>349</v>
      </c>
      <c r="B43" s="262"/>
      <c r="C43" s="263" t="s">
        <v>270</v>
      </c>
      <c r="D43" s="275">
        <v>2512</v>
      </c>
      <c r="E43" s="275">
        <v>2168</v>
      </c>
      <c r="F43" s="266">
        <v>2740.4</v>
      </c>
      <c r="G43" s="276">
        <v>2303</v>
      </c>
    </row>
    <row r="44" spans="1:7" s="260" customFormat="1" ht="15" customHeight="1">
      <c r="A44" s="261">
        <v>440</v>
      </c>
      <c r="B44" s="262"/>
      <c r="C44" s="263" t="s">
        <v>271</v>
      </c>
      <c r="D44" s="275">
        <v>58520.28</v>
      </c>
      <c r="E44" s="264">
        <v>61854</v>
      </c>
      <c r="F44" s="286">
        <v>54837.3</v>
      </c>
      <c r="G44" s="276">
        <v>55400.4</v>
      </c>
    </row>
    <row r="45" spans="1:7" s="260" customFormat="1" ht="15" customHeight="1">
      <c r="A45" s="261">
        <v>441</v>
      </c>
      <c r="B45" s="262"/>
      <c r="C45" s="263" t="s">
        <v>272</v>
      </c>
      <c r="D45" s="275">
        <v>37984.7</v>
      </c>
      <c r="E45" s="264">
        <v>131.2</v>
      </c>
      <c r="F45" s="286">
        <v>8024.8</v>
      </c>
      <c r="G45" s="276">
        <v>413.3</v>
      </c>
    </row>
    <row r="46" spans="1:7" s="260" customFormat="1" ht="15" customHeight="1">
      <c r="A46" s="261">
        <v>442</v>
      </c>
      <c r="B46" s="262"/>
      <c r="C46" s="263" t="s">
        <v>273</v>
      </c>
      <c r="D46" s="275">
        <v>217.8</v>
      </c>
      <c r="E46" s="264">
        <v>17</v>
      </c>
      <c r="F46" s="286">
        <v>468.8</v>
      </c>
      <c r="G46" s="276">
        <v>25</v>
      </c>
    </row>
    <row r="47" spans="1:7" s="260" customFormat="1" ht="15" customHeight="1">
      <c r="A47" s="261">
        <v>443</v>
      </c>
      <c r="B47" s="262"/>
      <c r="C47" s="263" t="s">
        <v>274</v>
      </c>
      <c r="D47" s="275">
        <v>20872.6</v>
      </c>
      <c r="E47" s="264">
        <v>21213.2</v>
      </c>
      <c r="F47" s="286">
        <v>23332.2</v>
      </c>
      <c r="G47" s="276">
        <v>22637.5</v>
      </c>
    </row>
    <row r="48" spans="1:7" s="260" customFormat="1" ht="15" customHeight="1">
      <c r="A48" s="261">
        <v>444</v>
      </c>
      <c r="B48" s="262"/>
      <c r="C48" s="263" t="s">
        <v>269</v>
      </c>
      <c r="D48" s="275">
        <v>77765.4</v>
      </c>
      <c r="E48" s="264">
        <v>2000</v>
      </c>
      <c r="F48" s="286">
        <v>101119.4</v>
      </c>
      <c r="G48" s="276">
        <v>3000</v>
      </c>
    </row>
    <row r="49" spans="1:7" s="260" customFormat="1" ht="15" customHeight="1">
      <c r="A49" s="261">
        <v>445</v>
      </c>
      <c r="B49" s="262"/>
      <c r="C49" s="263" t="s">
        <v>275</v>
      </c>
      <c r="D49" s="275">
        <v>16288.4</v>
      </c>
      <c r="E49" s="264">
        <v>35257</v>
      </c>
      <c r="F49" s="286">
        <v>41990.2</v>
      </c>
      <c r="G49" s="276">
        <v>40486</v>
      </c>
    </row>
    <row r="50" spans="1:7" s="260" customFormat="1" ht="15" customHeight="1">
      <c r="A50" s="261">
        <v>446</v>
      </c>
      <c r="B50" s="262"/>
      <c r="C50" s="263" t="s">
        <v>276</v>
      </c>
      <c r="D50" s="275">
        <v>285482.7</v>
      </c>
      <c r="E50" s="264">
        <v>276735</v>
      </c>
      <c r="F50" s="286">
        <v>281330.4</v>
      </c>
      <c r="G50" s="276">
        <v>275529</v>
      </c>
    </row>
    <row r="51" spans="1:7" s="260" customFormat="1" ht="15" customHeight="1">
      <c r="A51" s="261">
        <v>447</v>
      </c>
      <c r="B51" s="262"/>
      <c r="C51" s="263" t="s">
        <v>277</v>
      </c>
      <c r="D51" s="275">
        <v>31397.2</v>
      </c>
      <c r="E51" s="264">
        <v>25750.4</v>
      </c>
      <c r="F51" s="286">
        <v>31066.5</v>
      </c>
      <c r="G51" s="276">
        <v>24836</v>
      </c>
    </row>
    <row r="52" spans="1:7" s="260" customFormat="1" ht="15" customHeight="1">
      <c r="A52" s="261">
        <v>448</v>
      </c>
      <c r="B52" s="262"/>
      <c r="C52" s="263" t="s">
        <v>278</v>
      </c>
      <c r="D52" s="275">
        <v>3687.2</v>
      </c>
      <c r="E52" s="264">
        <v>2701.6</v>
      </c>
      <c r="F52" s="286">
        <v>3527</v>
      </c>
      <c r="G52" s="276">
        <v>2764.4</v>
      </c>
    </row>
    <row r="53" spans="1:7" s="260" customFormat="1" ht="15" customHeight="1">
      <c r="A53" s="261">
        <v>449</v>
      </c>
      <c r="B53" s="262"/>
      <c r="C53" s="263" t="s">
        <v>279</v>
      </c>
      <c r="D53" s="275">
        <v>10969</v>
      </c>
      <c r="E53" s="264">
        <v>200</v>
      </c>
      <c r="F53" s="286">
        <v>5224.5</v>
      </c>
      <c r="G53" s="276">
        <v>1437</v>
      </c>
    </row>
    <row r="54" spans="1:7" s="285" customFormat="1" ht="13.5" customHeight="1">
      <c r="A54" s="329" t="s">
        <v>280</v>
      </c>
      <c r="B54" s="330"/>
      <c r="C54" s="330" t="s">
        <v>281</v>
      </c>
      <c r="D54" s="332">
        <v>8531.87007</v>
      </c>
      <c r="E54" s="331">
        <v>200</v>
      </c>
      <c r="F54" s="333">
        <v>5208</v>
      </c>
      <c r="G54" s="334">
        <v>476</v>
      </c>
    </row>
    <row r="55" spans="1:7" ht="15" customHeight="1">
      <c r="A55" s="335"/>
      <c r="B55" s="335"/>
      <c r="C55" s="310" t="s">
        <v>282</v>
      </c>
      <c r="D55" s="311">
        <f>SUM(D44:D53)-SUM(D38:D43)</f>
        <v>330570.9799999999</v>
      </c>
      <c r="E55" s="311">
        <f>SUM(E44:E53)-SUM(E38:E43)</f>
        <v>268635.754</v>
      </c>
      <c r="F55" s="311">
        <f>SUM(F44:F53)-SUM(F38:F43)</f>
        <v>333409.5000000001</v>
      </c>
      <c r="G55" s="311">
        <f>SUM(G44:G53)-SUM(G38:G43)</f>
        <v>271724.60000000003</v>
      </c>
    </row>
    <row r="56" spans="1:7" ht="14.25" customHeight="1">
      <c r="A56" s="335"/>
      <c r="B56" s="335"/>
      <c r="C56" s="310" t="s">
        <v>283</v>
      </c>
      <c r="D56" s="311">
        <f>D55+D37</f>
        <v>-1723293.7299999972</v>
      </c>
      <c r="E56" s="311">
        <f>E55+E37</f>
        <v>-81781.99300000136</v>
      </c>
      <c r="F56" s="311">
        <f>F55+F37</f>
        <v>105626.64999999863</v>
      </c>
      <c r="G56" s="311">
        <f>G55+G37</f>
        <v>17567.388999997114</v>
      </c>
    </row>
    <row r="57" spans="1:7" s="260" customFormat="1" ht="15.75" customHeight="1">
      <c r="A57" s="336">
        <v>380</v>
      </c>
      <c r="B57" s="337"/>
      <c r="C57" s="338" t="s">
        <v>284</v>
      </c>
      <c r="D57" s="340">
        <v>0</v>
      </c>
      <c r="E57" s="339">
        <v>0</v>
      </c>
      <c r="F57" s="341">
        <v>0</v>
      </c>
      <c r="G57" s="342">
        <v>0</v>
      </c>
    </row>
    <row r="58" spans="1:7" s="260" customFormat="1" ht="15.75" customHeight="1">
      <c r="A58" s="336">
        <v>381</v>
      </c>
      <c r="B58" s="337"/>
      <c r="C58" s="338" t="s">
        <v>285</v>
      </c>
      <c r="D58" s="340">
        <v>0</v>
      </c>
      <c r="E58" s="339">
        <v>0</v>
      </c>
      <c r="F58" s="341">
        <v>0</v>
      </c>
      <c r="G58" s="342">
        <v>0</v>
      </c>
    </row>
    <row r="59" spans="1:7" s="285" customFormat="1" ht="25.5">
      <c r="A59" s="278">
        <v>383</v>
      </c>
      <c r="B59" s="279"/>
      <c r="C59" s="280" t="s">
        <v>286</v>
      </c>
      <c r="D59" s="344">
        <v>0</v>
      </c>
      <c r="E59" s="343">
        <v>0</v>
      </c>
      <c r="F59" s="345">
        <v>0</v>
      </c>
      <c r="G59" s="321">
        <v>0</v>
      </c>
    </row>
    <row r="60" spans="1:7" s="285" customFormat="1" ht="12.75">
      <c r="A60" s="278">
        <v>3840</v>
      </c>
      <c r="B60" s="279"/>
      <c r="C60" s="280" t="s">
        <v>287</v>
      </c>
      <c r="D60" s="346">
        <v>0</v>
      </c>
      <c r="E60" s="346">
        <v>0</v>
      </c>
      <c r="F60" s="347">
        <v>0</v>
      </c>
      <c r="G60" s="348">
        <v>0</v>
      </c>
    </row>
    <row r="61" spans="1:7" s="285" customFormat="1" ht="12.75">
      <c r="A61" s="278">
        <v>3841</v>
      </c>
      <c r="B61" s="279"/>
      <c r="C61" s="280" t="s">
        <v>288</v>
      </c>
      <c r="D61" s="346">
        <v>0</v>
      </c>
      <c r="E61" s="346">
        <v>0</v>
      </c>
      <c r="F61" s="347">
        <v>0</v>
      </c>
      <c r="G61" s="348">
        <v>0</v>
      </c>
    </row>
    <row r="62" spans="1:7" s="285" customFormat="1" ht="12.75">
      <c r="A62" s="349">
        <v>386</v>
      </c>
      <c r="B62" s="350"/>
      <c r="C62" s="351" t="s">
        <v>289</v>
      </c>
      <c r="D62" s="346">
        <v>0</v>
      </c>
      <c r="E62" s="346">
        <v>0</v>
      </c>
      <c r="F62" s="347">
        <v>0</v>
      </c>
      <c r="G62" s="348">
        <v>0</v>
      </c>
    </row>
    <row r="63" spans="1:7" s="285" customFormat="1" ht="25.5">
      <c r="A63" s="278">
        <v>387</v>
      </c>
      <c r="B63" s="279"/>
      <c r="C63" s="280" t="s">
        <v>290</v>
      </c>
      <c r="D63" s="346">
        <v>0</v>
      </c>
      <c r="E63" s="346">
        <v>0</v>
      </c>
      <c r="F63" s="347">
        <v>0</v>
      </c>
      <c r="G63" s="348">
        <v>0</v>
      </c>
    </row>
    <row r="64" spans="1:7" s="285" customFormat="1" ht="12.75">
      <c r="A64" s="274">
        <v>389</v>
      </c>
      <c r="B64" s="352"/>
      <c r="C64" s="263" t="s">
        <v>57</v>
      </c>
      <c r="D64" s="275">
        <v>0</v>
      </c>
      <c r="E64" s="275">
        <v>0</v>
      </c>
      <c r="F64" s="266">
        <v>0</v>
      </c>
      <c r="G64" s="276">
        <v>0</v>
      </c>
    </row>
    <row r="65" spans="1:7" s="260" customFormat="1" ht="12.75">
      <c r="A65" s="261" t="s">
        <v>291</v>
      </c>
      <c r="B65" s="262"/>
      <c r="C65" s="263" t="s">
        <v>292</v>
      </c>
      <c r="D65" s="275">
        <v>0</v>
      </c>
      <c r="E65" s="275">
        <v>0</v>
      </c>
      <c r="F65" s="266">
        <v>0</v>
      </c>
      <c r="G65" s="276">
        <v>0</v>
      </c>
    </row>
    <row r="66" spans="1:7" s="355" customFormat="1" ht="25.5">
      <c r="A66" s="353" t="s">
        <v>293</v>
      </c>
      <c r="B66" s="354"/>
      <c r="C66" s="280" t="s">
        <v>294</v>
      </c>
      <c r="D66" s="344">
        <v>0</v>
      </c>
      <c r="E66" s="344">
        <v>0</v>
      </c>
      <c r="F66" s="312">
        <v>0</v>
      </c>
      <c r="G66" s="321">
        <v>0</v>
      </c>
    </row>
    <row r="67" spans="1:7" s="260" customFormat="1" ht="12.75">
      <c r="A67" s="353">
        <v>481</v>
      </c>
      <c r="B67" s="262"/>
      <c r="C67" s="263" t="s">
        <v>295</v>
      </c>
      <c r="D67" s="275">
        <v>0</v>
      </c>
      <c r="E67" s="275">
        <v>0</v>
      </c>
      <c r="F67" s="266">
        <v>0</v>
      </c>
      <c r="G67" s="276">
        <v>0</v>
      </c>
    </row>
    <row r="68" spans="1:7" s="260" customFormat="1" ht="12.75">
      <c r="A68" s="353">
        <v>482</v>
      </c>
      <c r="B68" s="262"/>
      <c r="C68" s="263" t="s">
        <v>296</v>
      </c>
      <c r="D68" s="275">
        <v>0</v>
      </c>
      <c r="E68" s="275">
        <v>0</v>
      </c>
      <c r="F68" s="266">
        <v>0</v>
      </c>
      <c r="G68" s="276">
        <v>0</v>
      </c>
    </row>
    <row r="69" spans="1:7" s="260" customFormat="1" ht="12.75">
      <c r="A69" s="353">
        <v>483</v>
      </c>
      <c r="B69" s="262"/>
      <c r="C69" s="263" t="s">
        <v>297</v>
      </c>
      <c r="D69" s="275">
        <v>0</v>
      </c>
      <c r="E69" s="275">
        <v>0</v>
      </c>
      <c r="F69" s="266">
        <v>0</v>
      </c>
      <c r="G69" s="276">
        <v>0</v>
      </c>
    </row>
    <row r="70" spans="1:7" s="260" customFormat="1" ht="12.75">
      <c r="A70" s="353">
        <v>484</v>
      </c>
      <c r="B70" s="262"/>
      <c r="C70" s="263" t="s">
        <v>298</v>
      </c>
      <c r="D70" s="275">
        <v>0</v>
      </c>
      <c r="E70" s="275">
        <v>0</v>
      </c>
      <c r="F70" s="266">
        <v>0</v>
      </c>
      <c r="G70" s="276">
        <v>0</v>
      </c>
    </row>
    <row r="71" spans="1:7" s="260" customFormat="1" ht="12.75">
      <c r="A71" s="353">
        <v>485</v>
      </c>
      <c r="B71" s="262"/>
      <c r="C71" s="263" t="s">
        <v>299</v>
      </c>
      <c r="D71" s="275">
        <v>0</v>
      </c>
      <c r="E71" s="275">
        <v>0</v>
      </c>
      <c r="F71" s="266">
        <v>0</v>
      </c>
      <c r="G71" s="276">
        <v>0</v>
      </c>
    </row>
    <row r="72" spans="1:7" s="260" customFormat="1" ht="12.75">
      <c r="A72" s="353">
        <v>486</v>
      </c>
      <c r="B72" s="262"/>
      <c r="C72" s="263" t="s">
        <v>300</v>
      </c>
      <c r="D72" s="275">
        <v>0</v>
      </c>
      <c r="E72" s="275">
        <v>0</v>
      </c>
      <c r="F72" s="266">
        <v>0</v>
      </c>
      <c r="G72" s="276">
        <v>0</v>
      </c>
    </row>
    <row r="73" spans="1:7" s="285" customFormat="1" ht="12.75">
      <c r="A73" s="353">
        <v>487</v>
      </c>
      <c r="B73" s="269"/>
      <c r="C73" s="263" t="s">
        <v>301</v>
      </c>
      <c r="D73" s="275">
        <v>0</v>
      </c>
      <c r="E73" s="264">
        <v>0</v>
      </c>
      <c r="F73" s="286">
        <v>0</v>
      </c>
      <c r="G73" s="276">
        <v>0</v>
      </c>
    </row>
    <row r="74" spans="1:7" s="285" customFormat="1" ht="12.75">
      <c r="A74" s="353">
        <v>489</v>
      </c>
      <c r="B74" s="356"/>
      <c r="C74" s="303" t="s">
        <v>74</v>
      </c>
      <c r="D74" s="271">
        <v>0</v>
      </c>
      <c r="E74" s="323">
        <v>0</v>
      </c>
      <c r="F74" s="286">
        <v>0</v>
      </c>
      <c r="G74" s="276">
        <v>0</v>
      </c>
    </row>
    <row r="75" spans="1:7" s="285" customFormat="1" ht="12.75">
      <c r="A75" s="357" t="s">
        <v>302</v>
      </c>
      <c r="B75" s="356"/>
      <c r="C75" s="330" t="s">
        <v>303</v>
      </c>
      <c r="D75" s="275">
        <v>0</v>
      </c>
      <c r="E75" s="275">
        <v>0</v>
      </c>
      <c r="F75" s="266">
        <v>0</v>
      </c>
      <c r="G75" s="276">
        <v>0</v>
      </c>
    </row>
    <row r="76" spans="1:7" ht="12.75">
      <c r="A76" s="309"/>
      <c r="B76" s="309"/>
      <c r="C76" s="310" t="s">
        <v>304</v>
      </c>
      <c r="D76" s="311">
        <f>SUM(D65:D74)-SUM(D57:D64)</f>
        <v>0</v>
      </c>
      <c r="E76" s="311">
        <f>SUM(E65:E74)-SUM(E57:E64)</f>
        <v>0</v>
      </c>
      <c r="F76" s="311">
        <f>SUM(F65:F74)-SUM(F57:F64)</f>
        <v>0</v>
      </c>
      <c r="G76" s="311">
        <f>SUM(G65:G74)-SUM(G57:G64)</f>
        <v>0</v>
      </c>
    </row>
    <row r="77" spans="1:7" ht="12.75">
      <c r="A77" s="358"/>
      <c r="B77" s="358"/>
      <c r="C77" s="310" t="s">
        <v>305</v>
      </c>
      <c r="D77" s="311">
        <f>D56+D76</f>
        <v>-1723293.7299999972</v>
      </c>
      <c r="E77" s="311">
        <f>E56+E76</f>
        <v>-81781.99300000136</v>
      </c>
      <c r="F77" s="311">
        <f>F56+F76</f>
        <v>105626.64999999863</v>
      </c>
      <c r="G77" s="311">
        <f>G56+G76</f>
        <v>17567.388999997114</v>
      </c>
    </row>
    <row r="78" spans="1:7" ht="12.75">
      <c r="A78" s="359">
        <v>3</v>
      </c>
      <c r="B78" s="359"/>
      <c r="C78" s="360" t="s">
        <v>306</v>
      </c>
      <c r="D78" s="361">
        <f>D20+D21+SUM(D38:D43)+SUM(D57:D64)</f>
        <v>15673338.45</v>
      </c>
      <c r="E78" s="361">
        <f>E20+E21+SUM(E38:E43)+SUM(E57:E64)</f>
        <v>13731495.356</v>
      </c>
      <c r="F78" s="361">
        <f>F20+F21+SUM(F38:F43)+SUM(F57:F64)</f>
        <v>14157694.850000001</v>
      </c>
      <c r="G78" s="361">
        <f>G20+G21+SUM(G38:G43)+SUM(G57:G64)</f>
        <v>14217405.07</v>
      </c>
    </row>
    <row r="79" spans="1:7" ht="13.5" customHeight="1">
      <c r="A79" s="359">
        <v>4</v>
      </c>
      <c r="B79" s="359"/>
      <c r="C79" s="360" t="s">
        <v>307</v>
      </c>
      <c r="D79" s="361">
        <f>D35+D36+SUM(D44:D53)+SUM(D65:D74)</f>
        <v>13950044.72</v>
      </c>
      <c r="E79" s="361">
        <f>E35+E36+SUM(E44:E53)+SUM(E65:E74)</f>
        <v>13649713.363</v>
      </c>
      <c r="F79" s="361">
        <f>F35+F36+SUM(F44:F53)+SUM(F65:F74)</f>
        <v>14263321.5</v>
      </c>
      <c r="G79" s="361">
        <f>G35+G36+SUM(G44:G53)+SUM(G65:G74)</f>
        <v>14234972.458999997</v>
      </c>
    </row>
    <row r="80" spans="1:7" ht="12.75">
      <c r="A80" s="362"/>
      <c r="B80" s="362"/>
      <c r="C80" s="363"/>
      <c r="D80" s="364"/>
      <c r="E80" s="364"/>
      <c r="F80" s="364"/>
      <c r="G80" s="364"/>
    </row>
    <row r="81" spans="1:7" ht="12.75">
      <c r="A81" s="611" t="s">
        <v>308</v>
      </c>
      <c r="B81" s="612"/>
      <c r="C81" s="612"/>
      <c r="D81" s="366"/>
      <c r="E81" s="365"/>
      <c r="F81" s="366"/>
      <c r="G81" s="365"/>
    </row>
    <row r="82" spans="1:7" s="260" customFormat="1" ht="12.75">
      <c r="A82" s="367">
        <v>50</v>
      </c>
      <c r="B82" s="368"/>
      <c r="C82" s="368" t="s">
        <v>309</v>
      </c>
      <c r="D82" s="275">
        <v>536578.3</v>
      </c>
      <c r="E82" s="275">
        <v>552685.1</v>
      </c>
      <c r="F82" s="266">
        <v>552906</v>
      </c>
      <c r="G82" s="276">
        <v>518703</v>
      </c>
    </row>
    <row r="83" spans="1:7" s="260" customFormat="1" ht="12.75">
      <c r="A83" s="367">
        <v>51</v>
      </c>
      <c r="B83" s="368"/>
      <c r="C83" s="368" t="s">
        <v>310</v>
      </c>
      <c r="D83" s="275">
        <v>797</v>
      </c>
      <c r="E83" s="275">
        <v>400</v>
      </c>
      <c r="F83" s="266">
        <v>721</v>
      </c>
      <c r="G83" s="276">
        <v>400</v>
      </c>
    </row>
    <row r="84" spans="1:7" s="260" customFormat="1" ht="12.75">
      <c r="A84" s="367">
        <v>52</v>
      </c>
      <c r="B84" s="368"/>
      <c r="C84" s="368" t="s">
        <v>311</v>
      </c>
      <c r="D84" s="275">
        <v>36020.2</v>
      </c>
      <c r="E84" s="275">
        <v>36493.6</v>
      </c>
      <c r="F84" s="266">
        <v>22315</v>
      </c>
      <c r="G84" s="276">
        <v>50440.6</v>
      </c>
    </row>
    <row r="85" spans="1:7" s="260" customFormat="1" ht="12.75">
      <c r="A85" s="369">
        <v>54</v>
      </c>
      <c r="B85" s="370"/>
      <c r="C85" s="370" t="s">
        <v>312</v>
      </c>
      <c r="D85" s="271">
        <v>51350</v>
      </c>
      <c r="E85" s="271">
        <v>171950</v>
      </c>
      <c r="F85" s="272">
        <v>14124</v>
      </c>
      <c r="G85" s="273">
        <v>104775</v>
      </c>
    </row>
    <row r="86" spans="1:7" s="260" customFormat="1" ht="12.75">
      <c r="A86" s="369">
        <v>55</v>
      </c>
      <c r="B86" s="370"/>
      <c r="C86" s="370" t="s">
        <v>313</v>
      </c>
      <c r="D86" s="271">
        <v>1602.6</v>
      </c>
      <c r="E86" s="271">
        <v>0</v>
      </c>
      <c r="F86" s="272">
        <v>2</v>
      </c>
      <c r="G86" s="273">
        <v>0</v>
      </c>
    </row>
    <row r="87" spans="1:7" s="260" customFormat="1" ht="12.75">
      <c r="A87" s="369">
        <v>56</v>
      </c>
      <c r="B87" s="370"/>
      <c r="C87" s="370" t="s">
        <v>314</v>
      </c>
      <c r="D87" s="271">
        <v>322048.4</v>
      </c>
      <c r="E87" s="271">
        <v>268401.7</v>
      </c>
      <c r="F87" s="272">
        <v>226384</v>
      </c>
      <c r="G87" s="273">
        <v>273530.7</v>
      </c>
    </row>
    <row r="88" spans="1:7" s="260" customFormat="1" ht="12.75">
      <c r="A88" s="367">
        <v>57</v>
      </c>
      <c r="B88" s="368"/>
      <c r="C88" s="368" t="s">
        <v>315</v>
      </c>
      <c r="D88" s="275">
        <v>34695.46</v>
      </c>
      <c r="E88" s="275">
        <v>13816</v>
      </c>
      <c r="F88" s="266">
        <v>42564</v>
      </c>
      <c r="G88" s="276">
        <v>36728</v>
      </c>
    </row>
    <row r="89" spans="1:7" s="260" customFormat="1" ht="12.75">
      <c r="A89" s="367">
        <v>580</v>
      </c>
      <c r="B89" s="368"/>
      <c r="C89" s="368" t="s">
        <v>316</v>
      </c>
      <c r="D89" s="275">
        <v>0</v>
      </c>
      <c r="E89" s="275">
        <v>0</v>
      </c>
      <c r="F89" s="266">
        <v>0</v>
      </c>
      <c r="G89" s="276">
        <v>0</v>
      </c>
    </row>
    <row r="90" spans="1:7" s="260" customFormat="1" ht="12.75">
      <c r="A90" s="367">
        <v>582</v>
      </c>
      <c r="B90" s="368"/>
      <c r="C90" s="368" t="s">
        <v>317</v>
      </c>
      <c r="D90" s="275">
        <v>0</v>
      </c>
      <c r="E90" s="275">
        <v>0</v>
      </c>
      <c r="F90" s="266">
        <v>0</v>
      </c>
      <c r="G90" s="276">
        <v>0</v>
      </c>
    </row>
    <row r="91" spans="1:7" s="260" customFormat="1" ht="12.75">
      <c r="A91" s="367">
        <v>584</v>
      </c>
      <c r="B91" s="368"/>
      <c r="C91" s="368" t="s">
        <v>318</v>
      </c>
      <c r="D91" s="275">
        <v>0</v>
      </c>
      <c r="E91" s="275">
        <v>0</v>
      </c>
      <c r="F91" s="266">
        <v>0</v>
      </c>
      <c r="G91" s="276">
        <v>0</v>
      </c>
    </row>
    <row r="92" spans="1:7" s="260" customFormat="1" ht="12.75">
      <c r="A92" s="367">
        <v>585</v>
      </c>
      <c r="B92" s="368"/>
      <c r="C92" s="368" t="s">
        <v>319</v>
      </c>
      <c r="D92" s="275">
        <v>0</v>
      </c>
      <c r="E92" s="275">
        <v>0</v>
      </c>
      <c r="F92" s="266">
        <v>0</v>
      </c>
      <c r="G92" s="276">
        <v>0</v>
      </c>
    </row>
    <row r="93" spans="1:7" s="260" customFormat="1" ht="12.75">
      <c r="A93" s="367">
        <v>586</v>
      </c>
      <c r="B93" s="368"/>
      <c r="C93" s="368" t="s">
        <v>320</v>
      </c>
      <c r="D93" s="275">
        <v>0</v>
      </c>
      <c r="E93" s="275">
        <v>0</v>
      </c>
      <c r="F93" s="266">
        <v>0</v>
      </c>
      <c r="G93" s="276">
        <v>0</v>
      </c>
    </row>
    <row r="94" spans="1:7" s="260" customFormat="1" ht="12.75">
      <c r="A94" s="371">
        <v>589</v>
      </c>
      <c r="B94" s="372"/>
      <c r="C94" s="372" t="s">
        <v>321</v>
      </c>
      <c r="D94" s="306">
        <v>0</v>
      </c>
      <c r="E94" s="306">
        <v>0</v>
      </c>
      <c r="F94" s="373">
        <v>0</v>
      </c>
      <c r="G94" s="308">
        <v>0</v>
      </c>
    </row>
    <row r="95" spans="1:7" ht="12.75">
      <c r="A95" s="374">
        <v>5</v>
      </c>
      <c r="B95" s="375"/>
      <c r="C95" s="375" t="s">
        <v>322</v>
      </c>
      <c r="D95" s="376">
        <f>SUM(D82:D94)</f>
        <v>983091.96</v>
      </c>
      <c r="E95" s="376">
        <f>SUM(E82:E94)</f>
        <v>1043746.3999999999</v>
      </c>
      <c r="F95" s="376">
        <f>SUM(F82:F94)</f>
        <v>859016</v>
      </c>
      <c r="G95" s="376">
        <f>SUM(G82:G94)</f>
        <v>984577.3</v>
      </c>
    </row>
    <row r="96" spans="1:7" s="260" customFormat="1" ht="12.75">
      <c r="A96" s="367">
        <v>60</v>
      </c>
      <c r="B96" s="368"/>
      <c r="C96" s="368" t="s">
        <v>323</v>
      </c>
      <c r="D96" s="275">
        <v>25214.2</v>
      </c>
      <c r="E96" s="275">
        <v>100</v>
      </c>
      <c r="F96" s="266">
        <v>69934</v>
      </c>
      <c r="G96" s="276">
        <v>100</v>
      </c>
    </row>
    <row r="97" spans="1:7" s="260" customFormat="1" ht="12.75">
      <c r="A97" s="367">
        <v>61</v>
      </c>
      <c r="B97" s="368"/>
      <c r="C97" s="368" t="s">
        <v>324</v>
      </c>
      <c r="D97" s="275">
        <v>9116.3</v>
      </c>
      <c r="E97" s="275">
        <v>8000</v>
      </c>
      <c r="F97" s="266">
        <v>18926</v>
      </c>
      <c r="G97" s="276">
        <v>6900</v>
      </c>
    </row>
    <row r="98" spans="1:7" s="260" customFormat="1" ht="12.75">
      <c r="A98" s="367">
        <v>62</v>
      </c>
      <c r="B98" s="368"/>
      <c r="C98" s="368" t="s">
        <v>325</v>
      </c>
      <c r="D98" s="275">
        <v>0</v>
      </c>
      <c r="E98" s="275">
        <v>0</v>
      </c>
      <c r="F98" s="266">
        <v>477</v>
      </c>
      <c r="G98" s="276">
        <v>551.2</v>
      </c>
    </row>
    <row r="99" spans="1:7" s="260" customFormat="1" ht="12.75">
      <c r="A99" s="367">
        <v>63</v>
      </c>
      <c r="B99" s="368"/>
      <c r="C99" s="368" t="s">
        <v>326</v>
      </c>
      <c r="D99" s="275">
        <v>79123.9</v>
      </c>
      <c r="E99" s="275">
        <v>52996</v>
      </c>
      <c r="F99" s="266">
        <v>56404</v>
      </c>
      <c r="G99" s="276">
        <v>55011.3</v>
      </c>
    </row>
    <row r="100" spans="1:7" s="260" customFormat="1" ht="12.75">
      <c r="A100" s="367">
        <v>64</v>
      </c>
      <c r="B100" s="368"/>
      <c r="C100" s="368" t="s">
        <v>327</v>
      </c>
      <c r="D100" s="275">
        <v>85932.2</v>
      </c>
      <c r="E100" s="275">
        <v>19706</v>
      </c>
      <c r="F100" s="266">
        <v>138641</v>
      </c>
      <c r="G100" s="276">
        <v>108798</v>
      </c>
    </row>
    <row r="101" spans="1:7" s="260" customFormat="1" ht="12.75">
      <c r="A101" s="367">
        <v>65</v>
      </c>
      <c r="B101" s="368"/>
      <c r="C101" s="368" t="s">
        <v>328</v>
      </c>
      <c r="D101" s="275">
        <v>0</v>
      </c>
      <c r="E101" s="275">
        <v>0</v>
      </c>
      <c r="F101" s="266">
        <v>375</v>
      </c>
      <c r="G101" s="276">
        <v>0</v>
      </c>
    </row>
    <row r="102" spans="1:7" s="260" customFormat="1" ht="12.75">
      <c r="A102" s="367">
        <v>66</v>
      </c>
      <c r="B102" s="368"/>
      <c r="C102" s="368" t="s">
        <v>329</v>
      </c>
      <c r="D102" s="275">
        <v>72000.3</v>
      </c>
      <c r="E102" s="275">
        <v>1956</v>
      </c>
      <c r="F102" s="266">
        <v>13086</v>
      </c>
      <c r="G102" s="276">
        <v>200</v>
      </c>
    </row>
    <row r="103" spans="1:7" s="260" customFormat="1" ht="12.75">
      <c r="A103" s="367">
        <v>67</v>
      </c>
      <c r="B103" s="368"/>
      <c r="C103" s="368" t="s">
        <v>315</v>
      </c>
      <c r="D103" s="264">
        <v>34695.46</v>
      </c>
      <c r="E103" s="264">
        <v>13816</v>
      </c>
      <c r="F103" s="286">
        <v>42564</v>
      </c>
      <c r="G103" s="267">
        <v>36728</v>
      </c>
    </row>
    <row r="104" spans="1:7" s="260" customFormat="1" ht="25.5">
      <c r="A104" s="377" t="s">
        <v>330</v>
      </c>
      <c r="B104" s="368"/>
      <c r="C104" s="378" t="s">
        <v>331</v>
      </c>
      <c r="D104" s="343">
        <v>0</v>
      </c>
      <c r="E104" s="343">
        <v>0</v>
      </c>
      <c r="F104" s="345">
        <v>0</v>
      </c>
      <c r="G104" s="380">
        <v>0</v>
      </c>
    </row>
    <row r="105" spans="1:7" s="260" customFormat="1" ht="38.25">
      <c r="A105" s="381" t="s">
        <v>332</v>
      </c>
      <c r="B105" s="372"/>
      <c r="C105" s="382" t="s">
        <v>333</v>
      </c>
      <c r="D105" s="383">
        <v>0</v>
      </c>
      <c r="E105" s="383">
        <v>0</v>
      </c>
      <c r="F105" s="384">
        <v>0</v>
      </c>
      <c r="G105" s="385">
        <v>0</v>
      </c>
    </row>
    <row r="106" spans="1:7" ht="12.75">
      <c r="A106" s="374">
        <v>6</v>
      </c>
      <c r="B106" s="375"/>
      <c r="C106" s="375" t="s">
        <v>334</v>
      </c>
      <c r="D106" s="376">
        <f>SUM(D96:D105)</f>
        <v>306082.36</v>
      </c>
      <c r="E106" s="376">
        <f>SUM(E96:E105)</f>
        <v>96574</v>
      </c>
      <c r="F106" s="376">
        <f>SUM(F96:F105)</f>
        <v>340407</v>
      </c>
      <c r="G106" s="376">
        <f>SUM(G96:G105)</f>
        <v>208288.5</v>
      </c>
    </row>
    <row r="107" spans="1:7" ht="12.75">
      <c r="A107" s="386" t="s">
        <v>335</v>
      </c>
      <c r="B107" s="386"/>
      <c r="C107" s="375" t="s">
        <v>3</v>
      </c>
      <c r="D107" s="376">
        <f>(D95-D88)-(D106-D103)</f>
        <v>677009.6000000001</v>
      </c>
      <c r="E107" s="376">
        <f>(E95-E88)-(E106-E103)</f>
        <v>947172.3999999999</v>
      </c>
      <c r="F107" s="376">
        <f>(F95-F88)-(F106-F103)</f>
        <v>518609</v>
      </c>
      <c r="G107" s="376">
        <f>(G95-G88)-(G106-G103)</f>
        <v>776288.8</v>
      </c>
    </row>
    <row r="108" spans="1:7" ht="12.75">
      <c r="A108" s="387" t="s">
        <v>336</v>
      </c>
      <c r="B108" s="387"/>
      <c r="C108" s="388" t="s">
        <v>337</v>
      </c>
      <c r="D108" s="389">
        <f>D107-D85-D86+D100+D101</f>
        <v>709989.2000000001</v>
      </c>
      <c r="E108" s="389">
        <f>E107-E85-E86+E100+E101</f>
        <v>794928.3999999999</v>
      </c>
      <c r="F108" s="389">
        <f>F107-F85-F86+F100+F101</f>
        <v>643499</v>
      </c>
      <c r="G108" s="389">
        <f>G107-G85-G86+G100+G101</f>
        <v>780311.8</v>
      </c>
    </row>
    <row r="109" spans="1:7" ht="12.75">
      <c r="A109" s="362"/>
      <c r="B109" s="362"/>
      <c r="C109" s="363"/>
      <c r="D109" s="364"/>
      <c r="E109" s="364"/>
      <c r="F109" s="364"/>
      <c r="G109" s="364"/>
    </row>
    <row r="110" spans="1:7" s="250" customFormat="1" ht="12.75">
      <c r="A110" s="390" t="s">
        <v>338</v>
      </c>
      <c r="B110" s="391"/>
      <c r="C110" s="390"/>
      <c r="D110" s="364"/>
      <c r="E110" s="364"/>
      <c r="F110" s="364"/>
      <c r="G110" s="364"/>
    </row>
    <row r="111" spans="1:7" s="396" customFormat="1" ht="12.75">
      <c r="A111" s="392">
        <v>10</v>
      </c>
      <c r="B111" s="393"/>
      <c r="C111" s="393" t="s">
        <v>339</v>
      </c>
      <c r="D111" s="394">
        <f>D112+D117</f>
        <v>6242170.2</v>
      </c>
      <c r="E111" s="394">
        <f>E112+E117</f>
        <v>0</v>
      </c>
      <c r="F111" s="394">
        <f>F112+F117</f>
        <v>7703314.470000001</v>
      </c>
      <c r="G111" s="395">
        <f>G112+G117</f>
        <v>0</v>
      </c>
    </row>
    <row r="112" spans="1:7" s="396" customFormat="1" ht="12.75">
      <c r="A112" s="397" t="s">
        <v>340</v>
      </c>
      <c r="B112" s="398"/>
      <c r="C112" s="398" t="s">
        <v>341</v>
      </c>
      <c r="D112" s="394">
        <f>D113+D114+D115+D116</f>
        <v>5207799.3</v>
      </c>
      <c r="E112" s="394">
        <f>E113+E114+E115+E116</f>
        <v>0</v>
      </c>
      <c r="F112" s="394">
        <f>F113+F114+F115+F116</f>
        <v>6444255.73</v>
      </c>
      <c r="G112" s="395">
        <f>G113+G114+G115+G116</f>
        <v>0</v>
      </c>
    </row>
    <row r="113" spans="1:7" s="396" customFormat="1" ht="12.75">
      <c r="A113" s="399" t="s">
        <v>342</v>
      </c>
      <c r="B113" s="400"/>
      <c r="C113" s="400" t="s">
        <v>343</v>
      </c>
      <c r="D113" s="271">
        <f>1676390.8+2671666.9</f>
        <v>4348057.7</v>
      </c>
      <c r="E113" s="271">
        <v>0</v>
      </c>
      <c r="F113" s="271">
        <f>2337111.5+3158380</f>
        <v>5495491.5</v>
      </c>
      <c r="G113" s="401">
        <v>0</v>
      </c>
    </row>
    <row r="114" spans="1:7" s="406" customFormat="1" ht="15" customHeight="1">
      <c r="A114" s="402">
        <v>102</v>
      </c>
      <c r="B114" s="403"/>
      <c r="C114" s="403" t="s">
        <v>344</v>
      </c>
      <c r="D114" s="404">
        <v>296202.2</v>
      </c>
      <c r="E114" s="404"/>
      <c r="F114" s="404">
        <v>228381.4</v>
      </c>
      <c r="G114" s="405"/>
    </row>
    <row r="115" spans="1:7" s="396" customFormat="1" ht="12.75">
      <c r="A115" s="399">
        <v>104</v>
      </c>
      <c r="B115" s="400"/>
      <c r="C115" s="400" t="s">
        <v>345</v>
      </c>
      <c r="D115" s="271">
        <v>501761.1</v>
      </c>
      <c r="E115" s="271"/>
      <c r="F115" s="271">
        <v>654889.79</v>
      </c>
      <c r="G115" s="401"/>
    </row>
    <row r="116" spans="1:7" s="396" customFormat="1" ht="12.75">
      <c r="A116" s="399">
        <v>106</v>
      </c>
      <c r="B116" s="400"/>
      <c r="C116" s="400" t="s">
        <v>346</v>
      </c>
      <c r="D116" s="271">
        <v>61778.3</v>
      </c>
      <c r="E116" s="271"/>
      <c r="F116" s="271">
        <v>65493.04</v>
      </c>
      <c r="G116" s="401"/>
    </row>
    <row r="117" spans="1:7" s="396" customFormat="1" ht="12.75">
      <c r="A117" s="397" t="s">
        <v>347</v>
      </c>
      <c r="B117" s="398"/>
      <c r="C117" s="398" t="s">
        <v>348</v>
      </c>
      <c r="D117" s="394">
        <f>D118+D119+D120</f>
        <v>1034370.9</v>
      </c>
      <c r="E117" s="394">
        <f>E118+E119+E120</f>
        <v>0</v>
      </c>
      <c r="F117" s="394">
        <f>F118+F119+F120</f>
        <v>1259058.74</v>
      </c>
      <c r="G117" s="395">
        <f>G118+G119+G120</f>
        <v>0</v>
      </c>
    </row>
    <row r="118" spans="1:7" s="396" customFormat="1" ht="12.75">
      <c r="A118" s="399">
        <v>107</v>
      </c>
      <c r="B118" s="400"/>
      <c r="C118" s="400" t="s">
        <v>349</v>
      </c>
      <c r="D118" s="271">
        <v>145208.5</v>
      </c>
      <c r="E118" s="271">
        <v>0</v>
      </c>
      <c r="F118" s="271">
        <v>227186.79</v>
      </c>
      <c r="G118" s="401">
        <v>0</v>
      </c>
    </row>
    <row r="119" spans="1:7" s="396" customFormat="1" ht="12.75">
      <c r="A119" s="399">
        <v>108</v>
      </c>
      <c r="B119" s="400"/>
      <c r="C119" s="400" t="s">
        <v>350</v>
      </c>
      <c r="D119" s="271">
        <v>889162.4</v>
      </c>
      <c r="E119" s="271">
        <v>0</v>
      </c>
      <c r="F119" s="271">
        <v>1031871.95</v>
      </c>
      <c r="G119" s="401">
        <v>0</v>
      </c>
    </row>
    <row r="120" spans="1:7" s="409" customFormat="1" ht="25.5">
      <c r="A120" s="402">
        <v>109</v>
      </c>
      <c r="B120" s="407"/>
      <c r="C120" s="407" t="s">
        <v>351</v>
      </c>
      <c r="D120" s="290">
        <v>0</v>
      </c>
      <c r="E120" s="290">
        <v>0</v>
      </c>
      <c r="F120" s="290">
        <v>0</v>
      </c>
      <c r="G120" s="408">
        <v>0</v>
      </c>
    </row>
    <row r="121" spans="1:7" s="396" customFormat="1" ht="12.75">
      <c r="A121" s="397">
        <v>14</v>
      </c>
      <c r="B121" s="398"/>
      <c r="C121" s="398" t="s">
        <v>352</v>
      </c>
      <c r="D121" s="394">
        <f>SUM(D122:D130)</f>
        <v>14362143.299999999</v>
      </c>
      <c r="E121" s="394">
        <f>SUM(E122:E130)</f>
        <v>0</v>
      </c>
      <c r="F121" s="394">
        <f>SUM(F122:F130)</f>
        <v>14222351.8</v>
      </c>
      <c r="G121" s="394">
        <f>SUM(G122:G130)</f>
        <v>0</v>
      </c>
    </row>
    <row r="122" spans="1:7" s="396" customFormat="1" ht="12.75">
      <c r="A122" s="410" t="s">
        <v>353</v>
      </c>
      <c r="B122" s="411"/>
      <c r="C122" s="411" t="s">
        <v>354</v>
      </c>
      <c r="D122" s="275">
        <f>7550518.9+83620.3</f>
        <v>7634139.2</v>
      </c>
      <c r="E122" s="275">
        <v>0</v>
      </c>
      <c r="F122" s="275">
        <f>7563305.6+76635.6</f>
        <v>7639941.199999999</v>
      </c>
      <c r="G122" s="277">
        <v>0</v>
      </c>
    </row>
    <row r="123" spans="1:7" s="396" customFormat="1" ht="12.75">
      <c r="A123" s="410">
        <v>144</v>
      </c>
      <c r="B123" s="411"/>
      <c r="C123" s="411" t="s">
        <v>312</v>
      </c>
      <c r="D123" s="275">
        <f>865031.9+10733.6</f>
        <v>875765.5</v>
      </c>
      <c r="E123" s="275">
        <v>0</v>
      </c>
      <c r="F123" s="275">
        <f>67132.38+1409666.55</f>
        <v>1476798.9300000002</v>
      </c>
      <c r="G123" s="277">
        <v>0</v>
      </c>
    </row>
    <row r="124" spans="1:7" s="396" customFormat="1" ht="12.75">
      <c r="A124" s="410">
        <v>145</v>
      </c>
      <c r="B124" s="411"/>
      <c r="C124" s="411" t="s">
        <v>355</v>
      </c>
      <c r="D124" s="265">
        <v>2523032.6</v>
      </c>
      <c r="E124" s="265">
        <v>0</v>
      </c>
      <c r="F124" s="275">
        <v>2522663.97</v>
      </c>
      <c r="G124" s="413">
        <v>0</v>
      </c>
    </row>
    <row r="125" spans="1:7" s="396" customFormat="1" ht="12.75">
      <c r="A125" s="410">
        <v>146</v>
      </c>
      <c r="B125" s="411"/>
      <c r="C125" s="411" t="s">
        <v>356</v>
      </c>
      <c r="D125" s="265">
        <v>3329206</v>
      </c>
      <c r="E125" s="265">
        <v>0</v>
      </c>
      <c r="F125" s="275">
        <v>2582947.7</v>
      </c>
      <c r="G125" s="413">
        <v>0</v>
      </c>
    </row>
    <row r="126" spans="1:7" s="409" customFormat="1" ht="29.25" customHeight="1">
      <c r="A126" s="414" t="s">
        <v>357</v>
      </c>
      <c r="B126" s="415"/>
      <c r="C126" s="415" t="s">
        <v>358</v>
      </c>
      <c r="D126" s="281">
        <v>0</v>
      </c>
      <c r="E126" s="281">
        <v>0</v>
      </c>
      <c r="F126" s="281">
        <v>0</v>
      </c>
      <c r="G126" s="417">
        <v>0</v>
      </c>
    </row>
    <row r="127" spans="1:7" s="396" customFormat="1" ht="12.75">
      <c r="A127" s="410">
        <v>1484</v>
      </c>
      <c r="B127" s="411"/>
      <c r="C127" s="411" t="s">
        <v>359</v>
      </c>
      <c r="D127" s="265">
        <v>0</v>
      </c>
      <c r="E127" s="265">
        <v>0</v>
      </c>
      <c r="F127" s="275">
        <v>0</v>
      </c>
      <c r="G127" s="413">
        <v>0</v>
      </c>
    </row>
    <row r="128" spans="1:7" s="396" customFormat="1" ht="12.75">
      <c r="A128" s="410">
        <v>1485</v>
      </c>
      <c r="B128" s="411"/>
      <c r="C128" s="411" t="s">
        <v>360</v>
      </c>
      <c r="D128" s="265">
        <v>0</v>
      </c>
      <c r="E128" s="265">
        <v>0</v>
      </c>
      <c r="F128" s="275">
        <v>0</v>
      </c>
      <c r="G128" s="413">
        <v>0</v>
      </c>
    </row>
    <row r="129" spans="1:7" s="396" customFormat="1" ht="12.75">
      <c r="A129" s="410">
        <v>1486</v>
      </c>
      <c r="B129" s="411"/>
      <c r="C129" s="411" t="s">
        <v>361</v>
      </c>
      <c r="D129" s="265">
        <v>0</v>
      </c>
      <c r="E129" s="265">
        <v>0</v>
      </c>
      <c r="F129" s="275">
        <v>0</v>
      </c>
      <c r="G129" s="413">
        <v>0</v>
      </c>
    </row>
    <row r="130" spans="1:7" s="396" customFormat="1" ht="12.75">
      <c r="A130" s="418">
        <v>1489</v>
      </c>
      <c r="B130" s="419"/>
      <c r="C130" s="419" t="s">
        <v>362</v>
      </c>
      <c r="D130" s="305">
        <v>0</v>
      </c>
      <c r="E130" s="305">
        <v>0</v>
      </c>
      <c r="F130" s="306">
        <v>0</v>
      </c>
      <c r="G130" s="421">
        <v>0</v>
      </c>
    </row>
    <row r="131" spans="1:7" s="250" customFormat="1" ht="12.75">
      <c r="A131" s="422">
        <v>1</v>
      </c>
      <c r="B131" s="423"/>
      <c r="C131" s="422" t="s">
        <v>363</v>
      </c>
      <c r="D131" s="424">
        <f>D111+D121</f>
        <v>20604313.5</v>
      </c>
      <c r="E131" s="424">
        <f>E111+E121</f>
        <v>0</v>
      </c>
      <c r="F131" s="424">
        <f>F111+F121</f>
        <v>21925666.270000003</v>
      </c>
      <c r="G131" s="424">
        <f>G111+G121</f>
        <v>0</v>
      </c>
    </row>
    <row r="132" spans="1:7" s="250" customFormat="1" ht="12.75">
      <c r="A132" s="362"/>
      <c r="B132" s="362"/>
      <c r="C132" s="363"/>
      <c r="D132" s="364"/>
      <c r="E132" s="364"/>
      <c r="F132" s="364"/>
      <c r="G132" s="364"/>
    </row>
    <row r="133" spans="1:7" s="396" customFormat="1" ht="12.75">
      <c r="A133" s="392">
        <v>20</v>
      </c>
      <c r="B133" s="393"/>
      <c r="C133" s="393" t="s">
        <v>364</v>
      </c>
      <c r="D133" s="425">
        <f>D134+D140</f>
        <v>12295727.808</v>
      </c>
      <c r="E133" s="425">
        <v>0</v>
      </c>
      <c r="F133" s="425">
        <f>F134+F140</f>
        <v>13483912.328</v>
      </c>
      <c r="G133" s="426"/>
    </row>
    <row r="134" spans="1:7" s="396" customFormat="1" ht="12.75">
      <c r="A134" s="427" t="s">
        <v>365</v>
      </c>
      <c r="B134" s="398"/>
      <c r="C134" s="398" t="s">
        <v>366</v>
      </c>
      <c r="D134" s="394">
        <f>D135+D136+D138+D139</f>
        <v>3807797.408</v>
      </c>
      <c r="E134" s="394">
        <f>E135+E136+E138+E139</f>
        <v>0</v>
      </c>
      <c r="F134" s="394">
        <f>F135+F136+F138+F139</f>
        <v>6894121.9399999995</v>
      </c>
      <c r="G134" s="395">
        <f>G135+G136+G138+G139</f>
        <v>0</v>
      </c>
    </row>
    <row r="135" spans="1:7" s="429" customFormat="1" ht="12.75">
      <c r="A135" s="428">
        <v>200</v>
      </c>
      <c r="B135" s="411"/>
      <c r="C135" s="411" t="s">
        <v>367</v>
      </c>
      <c r="D135" s="275">
        <v>1558614.3</v>
      </c>
      <c r="E135" s="275">
        <v>0</v>
      </c>
      <c r="F135" s="275">
        <v>1722016.76</v>
      </c>
      <c r="G135" s="277">
        <v>0</v>
      </c>
    </row>
    <row r="136" spans="1:7" s="429" customFormat="1" ht="12.75">
      <c r="A136" s="428">
        <v>201</v>
      </c>
      <c r="B136" s="411"/>
      <c r="C136" s="411" t="s">
        <v>368</v>
      </c>
      <c r="D136" s="275">
        <v>54157.108</v>
      </c>
      <c r="E136" s="275">
        <v>0</v>
      </c>
      <c r="F136" s="275">
        <v>710859.08</v>
      </c>
      <c r="G136" s="277">
        <v>0</v>
      </c>
    </row>
    <row r="137" spans="1:7" s="429" customFormat="1" ht="12.75">
      <c r="A137" s="430" t="s">
        <v>369</v>
      </c>
      <c r="B137" s="400"/>
      <c r="C137" s="400" t="s">
        <v>370</v>
      </c>
      <c r="D137" s="271">
        <v>0</v>
      </c>
      <c r="E137" s="271">
        <v>0</v>
      </c>
      <c r="F137" s="271">
        <v>0</v>
      </c>
      <c r="G137" s="401">
        <v>0</v>
      </c>
    </row>
    <row r="138" spans="1:7" s="429" customFormat="1" ht="12.75">
      <c r="A138" s="428">
        <v>204</v>
      </c>
      <c r="B138" s="411"/>
      <c r="C138" s="411" t="s">
        <v>371</v>
      </c>
      <c r="D138" s="275">
        <v>1922604</v>
      </c>
      <c r="E138" s="275">
        <v>0</v>
      </c>
      <c r="F138" s="275">
        <v>1999378.7</v>
      </c>
      <c r="G138" s="277">
        <v>0</v>
      </c>
    </row>
    <row r="139" spans="1:7" s="429" customFormat="1" ht="12.75">
      <c r="A139" s="428">
        <v>205</v>
      </c>
      <c r="B139" s="411"/>
      <c r="C139" s="411" t="s">
        <v>372</v>
      </c>
      <c r="D139" s="275">
        <v>272422</v>
      </c>
      <c r="E139" s="275">
        <v>0</v>
      </c>
      <c r="F139" s="275">
        <v>2461867.4</v>
      </c>
      <c r="G139" s="277">
        <v>0</v>
      </c>
    </row>
    <row r="140" spans="1:7" s="429" customFormat="1" ht="12.75">
      <c r="A140" s="427" t="s">
        <v>373</v>
      </c>
      <c r="B140" s="398"/>
      <c r="C140" s="398" t="s">
        <v>374</v>
      </c>
      <c r="D140" s="394">
        <f>D141+D143+D144</f>
        <v>8487930.4</v>
      </c>
      <c r="E140" s="394">
        <f>E141+E143+E144</f>
        <v>0</v>
      </c>
      <c r="F140" s="394">
        <f>F141+F143+F144</f>
        <v>6589790.388</v>
      </c>
      <c r="G140" s="395">
        <f>G141+G143+G144</f>
        <v>0</v>
      </c>
    </row>
    <row r="141" spans="1:7" s="429" customFormat="1" ht="12.75">
      <c r="A141" s="428">
        <v>206</v>
      </c>
      <c r="B141" s="411"/>
      <c r="C141" s="411" t="s">
        <v>375</v>
      </c>
      <c r="D141" s="275">
        <v>4215775.4</v>
      </c>
      <c r="E141" s="275">
        <v>0</v>
      </c>
      <c r="F141" s="275">
        <v>4532292.988</v>
      </c>
      <c r="G141" s="413"/>
    </row>
    <row r="142" spans="1:7" s="429" customFormat="1" ht="12.75">
      <c r="A142" s="430" t="s">
        <v>376</v>
      </c>
      <c r="B142" s="400"/>
      <c r="C142" s="400" t="s">
        <v>377</v>
      </c>
      <c r="D142" s="271">
        <v>709989.9</v>
      </c>
      <c r="E142" s="271">
        <v>0</v>
      </c>
      <c r="F142" s="271">
        <v>705475.55</v>
      </c>
      <c r="G142" s="432"/>
    </row>
    <row r="143" spans="1:7" s="429" customFormat="1" ht="12.75">
      <c r="A143" s="428">
        <v>208</v>
      </c>
      <c r="B143" s="411"/>
      <c r="C143" s="411" t="s">
        <v>378</v>
      </c>
      <c r="D143" s="275">
        <v>3649668</v>
      </c>
      <c r="E143" s="275">
        <v>0</v>
      </c>
      <c r="F143" s="275">
        <v>1507069.4</v>
      </c>
      <c r="G143" s="413">
        <v>0</v>
      </c>
    </row>
    <row r="144" spans="1:7" s="433" customFormat="1" ht="25.5">
      <c r="A144" s="414">
        <v>209</v>
      </c>
      <c r="B144" s="415"/>
      <c r="C144" s="415" t="s">
        <v>379</v>
      </c>
      <c r="D144" s="281">
        <v>622487</v>
      </c>
      <c r="E144" s="281">
        <v>0</v>
      </c>
      <c r="F144" s="281">
        <v>550428</v>
      </c>
      <c r="G144" s="417">
        <v>0</v>
      </c>
    </row>
    <row r="145" spans="1:7" s="396" customFormat="1" ht="12.75">
      <c r="A145" s="427">
        <v>29</v>
      </c>
      <c r="B145" s="398"/>
      <c r="C145" s="398" t="s">
        <v>380</v>
      </c>
      <c r="D145" s="412">
        <v>8308585.8</v>
      </c>
      <c r="E145" s="412"/>
      <c r="F145" s="412">
        <v>8441753.63</v>
      </c>
      <c r="G145" s="413">
        <v>0</v>
      </c>
    </row>
    <row r="146" spans="1:7" s="396" customFormat="1" ht="12.75">
      <c r="A146" s="434" t="s">
        <v>381</v>
      </c>
      <c r="B146" s="435"/>
      <c r="C146" s="435" t="s">
        <v>382</v>
      </c>
      <c r="D146" s="332">
        <v>6126041.5</v>
      </c>
      <c r="E146" s="332"/>
      <c r="F146" s="332">
        <v>6152258.69</v>
      </c>
      <c r="G146" s="436">
        <v>0</v>
      </c>
    </row>
    <row r="147" spans="1:7" s="250" customFormat="1" ht="12.75">
      <c r="A147" s="422">
        <v>2</v>
      </c>
      <c r="B147" s="423"/>
      <c r="C147" s="422" t="s">
        <v>383</v>
      </c>
      <c r="D147" s="424">
        <f>D133+D145</f>
        <v>20604313.608</v>
      </c>
      <c r="E147" s="424">
        <f>E133+E145</f>
        <v>0</v>
      </c>
      <c r="F147" s="424">
        <f>F133+F145</f>
        <v>21925665.958</v>
      </c>
      <c r="G147" s="424">
        <f>G133+G145</f>
        <v>0</v>
      </c>
    </row>
    <row r="148" spans="4:6" ht="7.5" customHeight="1">
      <c r="D148" s="250"/>
      <c r="F148" s="250"/>
    </row>
    <row r="149" spans="1:7" ht="13.5" customHeight="1">
      <c r="A149" s="437" t="s">
        <v>384</v>
      </c>
      <c r="B149" s="438"/>
      <c r="C149" s="439" t="s">
        <v>385</v>
      </c>
      <c r="D149" s="438"/>
      <c r="E149" s="438"/>
      <c r="F149" s="438"/>
      <c r="G149" s="438"/>
    </row>
    <row r="150" spans="1:7" ht="12.75">
      <c r="A150" s="516" t="s">
        <v>386</v>
      </c>
      <c r="B150" s="441"/>
      <c r="C150" s="441" t="s">
        <v>97</v>
      </c>
      <c r="D150" s="442">
        <f>D77+SUM(D8:D12)-D30-D31+D16-D33+D59+D63-D73+D64-D74-D54+D20-D35</f>
        <v>-1008883.320069997</v>
      </c>
      <c r="E150" s="442">
        <f>E77+SUM(E8:E12)-E30-E31+E16-E33+E59+E63-E73+E64-E74-E54+E20-E35</f>
        <v>322521.7439999986</v>
      </c>
      <c r="F150" s="442">
        <f>F77+SUM(F8:F12)-F30-F31+F16-F33+F59+F63-F73+F64-F74-F54+F20-F35</f>
        <v>711843.9099999985</v>
      </c>
      <c r="G150" s="442">
        <f>G77+SUM(G8:G12)-G30-G31+G16-G33+G59+G63-G73+G64-G74-G54+G20-G35</f>
        <v>564983.155999997</v>
      </c>
    </row>
    <row r="151" spans="1:7" ht="12.75">
      <c r="A151" s="517" t="s">
        <v>387</v>
      </c>
      <c r="B151" s="444"/>
      <c r="C151" s="444" t="s">
        <v>388</v>
      </c>
      <c r="D151" s="445">
        <f>IF(D177=0,0,D150/D177)</f>
        <v>-0.0757309302437217</v>
      </c>
      <c r="E151" s="445">
        <f>IF(E177=0,0,E150/E177)</f>
        <v>0.024767638381626912</v>
      </c>
      <c r="F151" s="445">
        <f>IF(F177=0,0,F150/F177)</f>
        <v>0.05230415457103599</v>
      </c>
      <c r="G151" s="445">
        <f>IF(G177=0,0,G150/G177)</f>
        <v>0.04157336382906547</v>
      </c>
    </row>
    <row r="152" spans="1:7" s="449" customFormat="1" ht="25.5">
      <c r="A152" s="511" t="s">
        <v>389</v>
      </c>
      <c r="B152" s="447"/>
      <c r="C152" s="447" t="s">
        <v>390</v>
      </c>
      <c r="D152" s="591" t="str">
        <f>IF(IF(D107=0,0,D$150/D107)&lt;0,"negativ",(IF(D107=0,0,D$150/D107)))</f>
        <v>negativ</v>
      </c>
      <c r="E152" s="448">
        <f>IF(IF(E107=0,0,E$150/E107)&lt;0,"negativ",(IF(E107=0,0,E$150/E107)))</f>
        <v>0.34051007398441785</v>
      </c>
      <c r="F152" s="448">
        <f>IF(IF(F107=0,0,F$150/F107)&lt;0,"negativ",(IF(F107=0,0,F$150/F107)))</f>
        <v>1.3726023073259401</v>
      </c>
      <c r="G152" s="448">
        <f>IF(IF(G107=0,0,G$150/G107)&lt;0,"negativ",(IF(G107=0,0,G$150/G107)))</f>
        <v>0.7278002155898643</v>
      </c>
    </row>
    <row r="153" spans="1:7" s="449" customFormat="1" ht="25.5">
      <c r="A153" s="512" t="s">
        <v>389</v>
      </c>
      <c r="B153" s="451"/>
      <c r="C153" s="451" t="s">
        <v>391</v>
      </c>
      <c r="D153" s="592" t="str">
        <f>IF(IF(D108=0,0,D$150/D108)&lt;0,"negativ",(IF(D108=0,0,D$150/D108)))</f>
        <v>negativ</v>
      </c>
      <c r="E153" s="452">
        <f>IF(IF(E108=0,0,E$150/E108)&lt;0,"negativ",(IF(E108=0,0,E$150/E108)))</f>
        <v>0.405724269003345</v>
      </c>
      <c r="F153" s="452">
        <f>IF(IF(F108=0,0,F$150/F108)&lt;0,"negativ",(IF(F108=0,0,F$150/F108)))</f>
        <v>1.1062082613958972</v>
      </c>
      <c r="G153" s="452">
        <f>IF(IF(G108=0,0,G$150/G108)&lt;0,"negativ",(IF(G108=0,0,G$150/G108)))</f>
        <v>0.7240479459621103</v>
      </c>
    </row>
    <row r="154" spans="1:7" ht="25.5">
      <c r="A154" s="513" t="s">
        <v>392</v>
      </c>
      <c r="B154" s="454"/>
      <c r="C154" s="454" t="s">
        <v>393</v>
      </c>
      <c r="D154" s="455">
        <f>D150-D107</f>
        <v>-1685892.9200699972</v>
      </c>
      <c r="E154" s="455">
        <f>E150-E107</f>
        <v>-624650.6560000014</v>
      </c>
      <c r="F154" s="455">
        <f>F150-F107</f>
        <v>193234.90999999852</v>
      </c>
      <c r="G154" s="455">
        <f>G150-G107</f>
        <v>-211305.644000003</v>
      </c>
    </row>
    <row r="155" spans="1:7" ht="25.5">
      <c r="A155" s="512" t="s">
        <v>394</v>
      </c>
      <c r="B155" s="451"/>
      <c r="C155" s="451" t="s">
        <v>395</v>
      </c>
      <c r="D155" s="456">
        <f>D150-D108</f>
        <v>-1718872.520069997</v>
      </c>
      <c r="E155" s="456">
        <f>E150-E108</f>
        <v>-472406.6560000013</v>
      </c>
      <c r="F155" s="456">
        <f>F150-F108</f>
        <v>68344.90999999852</v>
      </c>
      <c r="G155" s="456">
        <f>G150-G108</f>
        <v>-215328.644000003</v>
      </c>
    </row>
    <row r="156" spans="1:7" ht="12.75">
      <c r="A156" s="516" t="s">
        <v>396</v>
      </c>
      <c r="B156" s="441"/>
      <c r="C156" s="441" t="s">
        <v>397</v>
      </c>
      <c r="D156" s="457">
        <f>D135+D136-D137+D141-D142</f>
        <v>5118556.908</v>
      </c>
      <c r="E156" s="457">
        <f>E135+E136-E137+E141-E142</f>
        <v>0</v>
      </c>
      <c r="F156" s="457">
        <f>F135+F136-F137+F141-F142</f>
        <v>6259693.278</v>
      </c>
      <c r="G156" s="457">
        <f>G135+G136-G137+G141-G142</f>
        <v>0</v>
      </c>
    </row>
    <row r="157" spans="1:7" ht="12.75">
      <c r="A157" s="518" t="s">
        <v>398</v>
      </c>
      <c r="B157" s="459"/>
      <c r="C157" s="459" t="s">
        <v>399</v>
      </c>
      <c r="D157" s="460">
        <f>IF(D177=0,0,D156/D177)</f>
        <v>0.3842199275545298</v>
      </c>
      <c r="E157" s="460">
        <f>IF(E177=0,0,E156/E177)</f>
        <v>0</v>
      </c>
      <c r="F157" s="460">
        <f>IF(F177=0,0,F156/F177)</f>
        <v>0.4599434794346806</v>
      </c>
      <c r="G157" s="460">
        <f>IF(G177=0,0,G156/G177)</f>
        <v>0</v>
      </c>
    </row>
    <row r="158" spans="1:7" ht="12.75">
      <c r="A158" s="516" t="s">
        <v>400</v>
      </c>
      <c r="B158" s="441"/>
      <c r="C158" s="441" t="s">
        <v>401</v>
      </c>
      <c r="D158" s="457">
        <f>D133-D142-D111</f>
        <v>5343567.708</v>
      </c>
      <c r="E158" s="457">
        <f>E133-E142-E111</f>
        <v>0</v>
      </c>
      <c r="F158" s="457">
        <f>F133-F142-F111</f>
        <v>5075122.307999998</v>
      </c>
      <c r="G158" s="457">
        <f>G133-G142-G111</f>
        <v>0</v>
      </c>
    </row>
    <row r="159" spans="1:7" ht="12.75">
      <c r="A159" s="517" t="s">
        <v>402</v>
      </c>
      <c r="B159" s="444"/>
      <c r="C159" s="444" t="s">
        <v>403</v>
      </c>
      <c r="D159" s="461">
        <f>D121-D123-D124-D142-D145</f>
        <v>1944769.499999999</v>
      </c>
      <c r="E159" s="461">
        <f>E121-E123-E124-E142-E145</f>
        <v>0</v>
      </c>
      <c r="F159" s="461">
        <f>F121-F123-F124-F142-F145</f>
        <v>1075659.7199999988</v>
      </c>
      <c r="G159" s="461">
        <f>G121-G123-G124-G142-G145</f>
        <v>0</v>
      </c>
    </row>
    <row r="160" spans="1:7" ht="12.75">
      <c r="A160" s="517" t="s">
        <v>404</v>
      </c>
      <c r="B160" s="444"/>
      <c r="C160" s="444" t="s">
        <v>405</v>
      </c>
      <c r="D160" s="462">
        <f>IF(D175=0,0,1000*(D158/D175))</f>
        <v>3837.6671272622807</v>
      </c>
      <c r="E160" s="462">
        <f>IF(E175=0,0,1000*(E158/E175))</f>
        <v>0</v>
      </c>
      <c r="F160" s="462">
        <f>IF(F175=0,0,1000*(F158/F175))</f>
        <v>3603.9783468257338</v>
      </c>
      <c r="G160" s="462">
        <f>IF(G175=0,"-",1000*G158/G175)</f>
        <v>0</v>
      </c>
    </row>
    <row r="161" spans="1:7" ht="12.75">
      <c r="A161" s="517" t="s">
        <v>404</v>
      </c>
      <c r="B161" s="444"/>
      <c r="C161" s="444" t="s">
        <v>406</v>
      </c>
      <c r="D161" s="461">
        <f>IF(D175=0,0,1000*(D159/D175))</f>
        <v>1396.7031743751788</v>
      </c>
      <c r="E161" s="461">
        <f>IF(E175=0,0,1000*(E159/E175))</f>
        <v>0</v>
      </c>
      <c r="F161" s="461">
        <f>IF(F175=0,0,1000*(F159/F175))</f>
        <v>763.8543672773745</v>
      </c>
      <c r="G161" s="461">
        <f>IF(G175=0,0,1000*(G159/G175))</f>
        <v>0</v>
      </c>
    </row>
    <row r="162" spans="1:7" ht="12.75">
      <c r="A162" s="518" t="s">
        <v>407</v>
      </c>
      <c r="B162" s="459"/>
      <c r="C162" s="459" t="s">
        <v>408</v>
      </c>
      <c r="D162" s="460">
        <f>IF((D22+D23+D65+D66)=0,0,D158/(D22+D23+D65+D66))</f>
        <v>0.825723572235642</v>
      </c>
      <c r="E162" s="460">
        <f>IF((E22+E23+E65+E66)=0,0,E158/(E22+E23+E65+E66))</f>
        <v>0</v>
      </c>
      <c r="F162" s="460">
        <f>IF((F22+F23+F65+F66)=0,0,F158/(F22+F23+F65+F66))</f>
        <v>0.8080616445579958</v>
      </c>
      <c r="G162" s="460">
        <f>IF((G22+G23+G65+G66)=0,0,G158/(G22+G23+G65+G66))</f>
        <v>0</v>
      </c>
    </row>
    <row r="163" spans="1:7" ht="12.75">
      <c r="A163" s="517" t="s">
        <v>409</v>
      </c>
      <c r="B163" s="444"/>
      <c r="C163" s="444" t="s">
        <v>410</v>
      </c>
      <c r="D163" s="442">
        <f>D145</f>
        <v>8308585.8</v>
      </c>
      <c r="E163" s="442">
        <f>E145</f>
        <v>0</v>
      </c>
      <c r="F163" s="442">
        <f>F145</f>
        <v>8441753.63</v>
      </c>
      <c r="G163" s="442">
        <f>G145</f>
        <v>0</v>
      </c>
    </row>
    <row r="164" spans="1:7" ht="25.5">
      <c r="A164" s="512" t="s">
        <v>411</v>
      </c>
      <c r="B164" s="463"/>
      <c r="C164" s="463" t="s">
        <v>412</v>
      </c>
      <c r="D164" s="452">
        <f>IF(D178=0,0,D146/D178)</f>
        <v>0.4071760768008639</v>
      </c>
      <c r="E164" s="452">
        <f>IF(E178=0,0,E146/E178)</f>
        <v>0</v>
      </c>
      <c r="F164" s="452">
        <f>IF(F178=0,0,F146/F178)</f>
        <v>0.45558536520064874</v>
      </c>
      <c r="G164" s="452">
        <f>IF(G178=0,0,G146/G178)</f>
        <v>0</v>
      </c>
    </row>
    <row r="165" spans="1:7" ht="12.75">
      <c r="A165" s="519" t="s">
        <v>681</v>
      </c>
      <c r="B165" s="464"/>
      <c r="C165" s="464" t="s">
        <v>414</v>
      </c>
      <c r="D165" s="465">
        <f>IF(D177=0,0,D180/D177)</f>
        <v>0.05515520265871559</v>
      </c>
      <c r="E165" s="465">
        <f>IF(E177=0,0,E180/E177)</f>
        <v>0.050892993851346525</v>
      </c>
      <c r="F165" s="465">
        <f>IF(F177=0,0,F180/F177)</f>
        <v>0.05431942439940873</v>
      </c>
      <c r="G165" s="465">
        <f>IF(G177=0,0,G180/G177)</f>
        <v>0.05013188862608318</v>
      </c>
    </row>
    <row r="166" spans="1:7" ht="12.75">
      <c r="A166" s="517" t="s">
        <v>415</v>
      </c>
      <c r="B166" s="444"/>
      <c r="C166" s="444" t="s">
        <v>282</v>
      </c>
      <c r="D166" s="442">
        <f>D55</f>
        <v>330570.9799999999</v>
      </c>
      <c r="E166" s="442">
        <f>E55</f>
        <v>268635.754</v>
      </c>
      <c r="F166" s="442">
        <f>F55</f>
        <v>333409.5000000001</v>
      </c>
      <c r="G166" s="442">
        <f>G55</f>
        <v>271724.60000000003</v>
      </c>
    </row>
    <row r="167" spans="1:7" ht="12.75">
      <c r="A167" s="518" t="s">
        <v>416</v>
      </c>
      <c r="B167" s="459"/>
      <c r="C167" s="459" t="s">
        <v>417</v>
      </c>
      <c r="D167" s="460">
        <f>IF(0=D111,0,(D44+D45+D46+D47+D48)/D111)</f>
        <v>0.03129693259565399</v>
      </c>
      <c r="E167" s="460">
        <f>IF(0=E111,0,(E44+E45+E46+E47+E48)/E111)</f>
        <v>0</v>
      </c>
      <c r="F167" s="460">
        <f>IF(0=F111,0,(F44+F45+F46+F47+F48)/F111)</f>
        <v>0.024376844633735947</v>
      </c>
      <c r="G167" s="460">
        <f>IF(0=G111,0,(G44+G45+G46+G47+G48)/G111)</f>
        <v>0</v>
      </c>
    </row>
    <row r="168" spans="1:7" ht="12.75">
      <c r="A168" s="517" t="s">
        <v>418</v>
      </c>
      <c r="B168" s="441"/>
      <c r="C168" s="441" t="s">
        <v>419</v>
      </c>
      <c r="D168" s="442">
        <f>D38-D44</f>
        <v>80401.01999999999</v>
      </c>
      <c r="E168" s="442">
        <f>E38-E44</f>
        <v>86715.64600000001</v>
      </c>
      <c r="F168" s="442">
        <f>F38-F44</f>
        <v>83162.99999999999</v>
      </c>
      <c r="G168" s="442">
        <f>G38-G44</f>
        <v>89158.30000000002</v>
      </c>
    </row>
    <row r="169" spans="1:7" ht="12.75">
      <c r="A169" s="518" t="s">
        <v>420</v>
      </c>
      <c r="B169" s="459"/>
      <c r="C169" s="459" t="s">
        <v>421</v>
      </c>
      <c r="D169" s="445">
        <f>IF(D177=0,0,D168/D177)</f>
        <v>0.006035231147167369</v>
      </c>
      <c r="E169" s="445">
        <f>IF(E177=0,0,E168/E177)</f>
        <v>0.00665921539279901</v>
      </c>
      <c r="F169" s="445">
        <f>IF(F177=0,0,F168/F177)</f>
        <v>0.006110567703797697</v>
      </c>
      <c r="G169" s="445">
        <f>IF(G177=0,0,G168/G177)</f>
        <v>0.0065605680539633435</v>
      </c>
    </row>
    <row r="170" spans="1:7" ht="12.75">
      <c r="A170" s="517" t="s">
        <v>422</v>
      </c>
      <c r="B170" s="444"/>
      <c r="C170" s="444" t="s">
        <v>423</v>
      </c>
      <c r="D170" s="442">
        <f>SUM(D82:D87)+SUM(D89:D94)</f>
        <v>948396.5</v>
      </c>
      <c r="E170" s="442">
        <f>SUM(E82:E87)+SUM(E89:E94)</f>
        <v>1029930.3999999999</v>
      </c>
      <c r="F170" s="442">
        <f>SUM(F82:F87)+SUM(F89:F94)</f>
        <v>816452</v>
      </c>
      <c r="G170" s="442">
        <f>SUM(G82:G87)+SUM(G89:G94)</f>
        <v>947849.3</v>
      </c>
    </row>
    <row r="171" spans="1:7" ht="12.75">
      <c r="A171" s="517" t="s">
        <v>424</v>
      </c>
      <c r="B171" s="444"/>
      <c r="C171" s="444" t="s">
        <v>425</v>
      </c>
      <c r="D171" s="461">
        <f>SUM(D96:D102)+SUM(D104:D105)</f>
        <v>271386.89999999997</v>
      </c>
      <c r="E171" s="461">
        <f>SUM(E96:E102)+SUM(E104:E105)</f>
        <v>82758</v>
      </c>
      <c r="F171" s="461">
        <f>SUM(F96:F102)+SUM(F104:F105)</f>
        <v>297843</v>
      </c>
      <c r="G171" s="461">
        <f>SUM(G96:G102)+SUM(G104:G105)</f>
        <v>171560.5</v>
      </c>
    </row>
    <row r="172" spans="1:7" ht="12.75">
      <c r="A172" s="519" t="s">
        <v>413</v>
      </c>
      <c r="B172" s="464"/>
      <c r="C172" s="464" t="s">
        <v>426</v>
      </c>
      <c r="D172" s="465">
        <f>IF(D184=0,0,D170/D184)</f>
        <v>0.06265482761849554</v>
      </c>
      <c r="E172" s="465">
        <f>IF(E184=0,0,E170/E184)</f>
        <v>0.07640886554389952</v>
      </c>
      <c r="F172" s="465">
        <f>IF(F184=0,0,F170/F184)</f>
        <v>0.060536316162417815</v>
      </c>
      <c r="G172" s="465">
        <f>IF(G184=0,0,G170/G184)</f>
        <v>0.06851878778600459</v>
      </c>
    </row>
    <row r="174" spans="1:7" ht="12.75">
      <c r="A174" s="467" t="s">
        <v>427</v>
      </c>
      <c r="B174" s="468"/>
      <c r="C174" s="467"/>
      <c r="D174" s="364"/>
      <c r="E174" s="364"/>
      <c r="F174" s="364"/>
      <c r="G174" s="364"/>
    </row>
    <row r="175" spans="1:7" s="260" customFormat="1" ht="12.75">
      <c r="A175" s="468" t="s">
        <v>428</v>
      </c>
      <c r="B175" s="468"/>
      <c r="C175" s="468" t="s">
        <v>429</v>
      </c>
      <c r="D175" s="470">
        <v>1392400</v>
      </c>
      <c r="E175" s="470">
        <v>1408200</v>
      </c>
      <c r="F175" s="471">
        <v>1408200</v>
      </c>
      <c r="G175" s="471">
        <v>1409607</v>
      </c>
    </row>
    <row r="176" spans="1:7" ht="12.75">
      <c r="A176" s="467" t="s">
        <v>430</v>
      </c>
      <c r="B176" s="468"/>
      <c r="C176" s="468"/>
      <c r="D176" s="468"/>
      <c r="E176" s="468"/>
      <c r="F176" s="468"/>
      <c r="G176" s="468"/>
    </row>
    <row r="177" spans="1:7" ht="12.75">
      <c r="A177" s="468" t="s">
        <v>431</v>
      </c>
      <c r="B177" s="468"/>
      <c r="C177" s="468" t="s">
        <v>432</v>
      </c>
      <c r="D177" s="472">
        <f>SUM(D22:D32)+SUM(D44:D53)+SUM(D65:D72)+D75</f>
        <v>13321945.43</v>
      </c>
      <c r="E177" s="472">
        <f>SUM(E22:E32)+SUM(E44:E53)+SUM(E65:E72)+E75</f>
        <v>13021901.363</v>
      </c>
      <c r="F177" s="472">
        <f>SUM(F22:F32)+SUM(F44:F53)+SUM(F65:F72)+F75</f>
        <v>13609701.1</v>
      </c>
      <c r="G177" s="472">
        <f>SUM(G22:G32)+SUM(G44:G53)+SUM(G65:G72)+G75</f>
        <v>13590027.458999997</v>
      </c>
    </row>
    <row r="178" spans="1:7" ht="12.75">
      <c r="A178" s="468" t="s">
        <v>433</v>
      </c>
      <c r="B178" s="468"/>
      <c r="C178" s="468" t="s">
        <v>434</v>
      </c>
      <c r="D178" s="472">
        <f>D78-D17-D20-D59-D63-D64</f>
        <v>15045190.149999999</v>
      </c>
      <c r="E178" s="472">
        <f>E78-E17-E20-E59-E63-E64</f>
        <v>13103683.356</v>
      </c>
      <c r="F178" s="472">
        <f>F78-F17-F20-F59-F63-F64</f>
        <v>13504074.450000001</v>
      </c>
      <c r="G178" s="472">
        <f>G78-G17-G20-G59-G63-G64</f>
        <v>13572460.07</v>
      </c>
    </row>
    <row r="179" spans="1:7" ht="12.75">
      <c r="A179" s="468"/>
      <c r="B179" s="468"/>
      <c r="C179" s="468" t="s">
        <v>435</v>
      </c>
      <c r="D179" s="472">
        <f>D178+D170</f>
        <v>15993586.649999999</v>
      </c>
      <c r="E179" s="472">
        <f>E178+E170</f>
        <v>14133613.756000001</v>
      </c>
      <c r="F179" s="472">
        <f>F178+F170</f>
        <v>14320526.450000001</v>
      </c>
      <c r="G179" s="472">
        <f>G178+G170</f>
        <v>14520309.370000001</v>
      </c>
    </row>
    <row r="180" spans="1:7" ht="12.75">
      <c r="A180" s="468" t="s">
        <v>436</v>
      </c>
      <c r="B180" s="468"/>
      <c r="C180" s="468" t="s">
        <v>437</v>
      </c>
      <c r="D180" s="472">
        <f>D38-D44+D8+D9+D10+D16-D33</f>
        <v>734774.6</v>
      </c>
      <c r="E180" s="472">
        <f>E38-E44+E8+E9+E10+E16-E33</f>
        <v>662723.546</v>
      </c>
      <c r="F180" s="472">
        <f>F38-F44+F8+F9+F10+F16-F33</f>
        <v>739271.1299999999</v>
      </c>
      <c r="G180" s="472">
        <f>G38-G44+G8+G9+G10+G16-G33</f>
        <v>681293.743</v>
      </c>
    </row>
    <row r="181" spans="1:7" ht="27" customHeight="1">
      <c r="A181" s="473" t="s">
        <v>438</v>
      </c>
      <c r="B181" s="474"/>
      <c r="C181" s="474" t="s">
        <v>439</v>
      </c>
      <c r="D181" s="475">
        <f>D22+D23+D24+D25+D26+D29+SUM(D44:D47)+SUM(D49:D53)-D54+D32-D33+SUM(D65:D70)+D72</f>
        <v>13137358.159930002</v>
      </c>
      <c r="E181" s="475">
        <f>E22+E23+E24+E25+E26+E29+SUM(E44:E47)+SUM(E49:E53)-E54+E32-E33+SUM(E65:E70)+E72</f>
        <v>12759944.6</v>
      </c>
      <c r="F181" s="475">
        <f>F22+F23+F24+F25+F26+F29+SUM(F44:F47)+SUM(F49:F53)-F54+F32-F33+SUM(F65:F70)+F72</f>
        <v>13322959.799999997</v>
      </c>
      <c r="G181" s="475">
        <f>G22+G23+G24+G25+G26+G29+SUM(G44:G47)+SUM(G49:G53)-G54+G32-G33+SUM(G65:G70)+G72</f>
        <v>13440815.362999998</v>
      </c>
    </row>
    <row r="182" spans="1:7" ht="12.75">
      <c r="A182" s="474" t="s">
        <v>440</v>
      </c>
      <c r="B182" s="474"/>
      <c r="C182" s="474" t="s">
        <v>441</v>
      </c>
      <c r="D182" s="475">
        <f>D181+D171</f>
        <v>13408745.059930002</v>
      </c>
      <c r="E182" s="475">
        <f>E181+E171</f>
        <v>12842702.6</v>
      </c>
      <c r="F182" s="475">
        <f>F181+F171</f>
        <v>13620802.799999997</v>
      </c>
      <c r="G182" s="475">
        <f>G181+G171</f>
        <v>13612375.862999998</v>
      </c>
    </row>
    <row r="183" spans="1:7" ht="12.75">
      <c r="A183" s="474" t="s">
        <v>442</v>
      </c>
      <c r="B183" s="474"/>
      <c r="C183" s="474" t="s">
        <v>443</v>
      </c>
      <c r="D183" s="475">
        <f>D4+D5-D7+D38+D39+D40+D41+D43+D13-D16+D57+D58+D60+D61+D62</f>
        <v>14188449.87</v>
      </c>
      <c r="E183" s="475">
        <f>E4+E5-E7+E38+E39+E40+E41+E43+E13-E16+E57+E58+E60+E61+E62</f>
        <v>12449269.855999999</v>
      </c>
      <c r="F183" s="475">
        <f>F4+F5-F7+F38+F39+F40+F41+F43+F13-F16+F57+F58+F60+F61+F62</f>
        <v>12670526.59</v>
      </c>
      <c r="G183" s="475">
        <f>G4+G5-G7+G38+G39+G40+G41+G43+G13-G16+G57+G58+G60+G61+G62</f>
        <v>12885572.607</v>
      </c>
    </row>
    <row r="184" spans="1:7" ht="12.75">
      <c r="A184" s="474" t="s">
        <v>444</v>
      </c>
      <c r="B184" s="474"/>
      <c r="C184" s="474" t="s">
        <v>445</v>
      </c>
      <c r="D184" s="475">
        <f>D183+D170</f>
        <v>15136846.37</v>
      </c>
      <c r="E184" s="475">
        <f>E183+E170</f>
        <v>13479200.256</v>
      </c>
      <c r="F184" s="475">
        <f>F183+F170</f>
        <v>13486978.59</v>
      </c>
      <c r="G184" s="475">
        <f>G183+G170</f>
        <v>13833421.907000002</v>
      </c>
    </row>
    <row r="185" spans="1:7" ht="12.75">
      <c r="A185" s="474"/>
      <c r="B185" s="474"/>
      <c r="C185" s="474" t="s">
        <v>446</v>
      </c>
      <c r="D185" s="475">
        <f aca="true" t="shared" si="0" ref="D185:G186">D181-D183</f>
        <v>-1051091.7100699972</v>
      </c>
      <c r="E185" s="475">
        <f t="shared" si="0"/>
        <v>310674.7440000009</v>
      </c>
      <c r="F185" s="475">
        <f t="shared" si="0"/>
        <v>652433.2099999972</v>
      </c>
      <c r="G185" s="475">
        <f t="shared" si="0"/>
        <v>555242.7559999973</v>
      </c>
    </row>
    <row r="186" spans="1:7" ht="12.75">
      <c r="A186" s="474"/>
      <c r="B186" s="474"/>
      <c r="C186" s="474" t="s">
        <v>447</v>
      </c>
      <c r="D186" s="475">
        <f t="shared" si="0"/>
        <v>-1728101.3100699969</v>
      </c>
      <c r="E186" s="475">
        <f t="shared" si="0"/>
        <v>-636497.6559999995</v>
      </c>
      <c r="F186" s="475">
        <f t="shared" si="0"/>
        <v>133824.20999999717</v>
      </c>
      <c r="G186" s="475">
        <f t="shared" si="0"/>
        <v>-221046.0440000035</v>
      </c>
    </row>
  </sheetData>
  <sheetProtection/>
  <mergeCells count="2">
    <mergeCell ref="A3:C3"/>
    <mergeCell ref="A81:C81"/>
  </mergeCells>
  <printOptions gridLines="1" headings="1"/>
  <pageMargins left="0.25" right="0.25" top="0.75" bottom="0.75" header="0.3" footer="0.3"/>
  <pageSetup fitToHeight="0" horizontalDpi="600" verticalDpi="600" orientation="landscape" paperSize="9" r:id="rId1"/>
  <headerFooter alignWithMargins="0">
    <oddHeader>&amp;LFachgruppe für kantonale Finanzfragen (FkF)
Groupe d'études pour les finances cantonales
&amp;CRechnung 2011 - Budget 2013
Compte 2011 - Budget 2013&amp;RZürich, 12.9.2013</oddHeader>
    <oddFooter>&amp;LQuelle/Source: FkF Sept. 2013</oddFooter>
  </headerFooter>
  <rowBreaks count="2" manualBreakCount="2">
    <brk id="79" max="6" man="1"/>
    <brk id="148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86"/>
  <sheetViews>
    <sheetView zoomScale="115" zoomScaleNormal="115" zoomScalePageLayoutView="0" workbookViewId="0" topLeftCell="A1">
      <selection activeCell="A1" sqref="A1:G186"/>
    </sheetView>
  </sheetViews>
  <sheetFormatPr defaultColWidth="11.421875" defaultRowHeight="12.75"/>
  <cols>
    <col min="1" max="1" width="16.7109375" style="252" customWidth="1"/>
    <col min="2" max="2" width="3.7109375" style="252" customWidth="1"/>
    <col min="3" max="3" width="39.7109375" style="252" customWidth="1"/>
    <col min="4" max="4" width="12.7109375" style="250" customWidth="1"/>
    <col min="5" max="5" width="11.421875" style="252" customWidth="1"/>
    <col min="6" max="6" width="12.7109375" style="252" customWidth="1"/>
    <col min="7" max="16384" width="11.421875" style="252" customWidth="1"/>
  </cols>
  <sheetData>
    <row r="1" spans="1:55" s="243" customFormat="1" ht="18" customHeight="1">
      <c r="A1" s="237" t="s">
        <v>220</v>
      </c>
      <c r="B1" s="532" t="s">
        <v>453</v>
      </c>
      <c r="C1" s="532" t="s">
        <v>109</v>
      </c>
      <c r="D1" s="241" t="s">
        <v>22</v>
      </c>
      <c r="E1" s="240" t="s">
        <v>105</v>
      </c>
      <c r="F1" s="241" t="s">
        <v>22</v>
      </c>
      <c r="G1" s="240" t="s">
        <v>105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7" s="249" customFormat="1" ht="15" customHeight="1">
      <c r="A2" s="244"/>
      <c r="B2" s="245"/>
      <c r="C2" s="246" t="s">
        <v>222</v>
      </c>
      <c r="D2" s="248">
        <v>2011</v>
      </c>
      <c r="E2" s="247">
        <v>2012</v>
      </c>
      <c r="F2" s="248">
        <v>2012</v>
      </c>
      <c r="G2" s="247">
        <v>2013</v>
      </c>
    </row>
    <row r="3" spans="1:7" ht="15" customHeight="1">
      <c r="A3" s="609" t="s">
        <v>223</v>
      </c>
      <c r="B3" s="610"/>
      <c r="C3" s="610"/>
      <c r="F3" s="250"/>
      <c r="G3" s="253" t="s">
        <v>103</v>
      </c>
    </row>
    <row r="4" spans="1:7" s="260" customFormat="1" ht="12.75" customHeight="1">
      <c r="A4" s="479">
        <v>30</v>
      </c>
      <c r="B4" s="480"/>
      <c r="C4" s="256" t="s">
        <v>29</v>
      </c>
      <c r="D4" s="481">
        <v>71127</v>
      </c>
      <c r="E4" s="257">
        <v>73591.1</v>
      </c>
      <c r="F4" s="531">
        <v>72286.7</v>
      </c>
      <c r="G4" s="259">
        <v>74993.3</v>
      </c>
    </row>
    <row r="5" spans="1:7" s="260" customFormat="1" ht="12.75" customHeight="1">
      <c r="A5" s="261">
        <v>31</v>
      </c>
      <c r="B5" s="262"/>
      <c r="C5" s="263" t="s">
        <v>224</v>
      </c>
      <c r="D5" s="275">
        <v>25939.1</v>
      </c>
      <c r="E5" s="264">
        <v>26000.2</v>
      </c>
      <c r="F5" s="266">
        <v>26851.8</v>
      </c>
      <c r="G5" s="267">
        <v>26646.4</v>
      </c>
    </row>
    <row r="6" spans="1:7" s="260" customFormat="1" ht="12.75" customHeight="1">
      <c r="A6" s="268" t="s">
        <v>32</v>
      </c>
      <c r="B6" s="269"/>
      <c r="C6" s="270" t="s">
        <v>225</v>
      </c>
      <c r="D6" s="271">
        <v>4754.1</v>
      </c>
      <c r="E6" s="271">
        <v>4561.6</v>
      </c>
      <c r="F6" s="272">
        <v>5428.9</v>
      </c>
      <c r="G6" s="273">
        <v>4647.2</v>
      </c>
    </row>
    <row r="7" spans="1:7" s="260" customFormat="1" ht="12.75" customHeight="1">
      <c r="A7" s="268" t="s">
        <v>226</v>
      </c>
      <c r="B7" s="269"/>
      <c r="C7" s="270" t="s">
        <v>227</v>
      </c>
      <c r="D7" s="271">
        <v>799.7</v>
      </c>
      <c r="E7" s="271">
        <v>250</v>
      </c>
      <c r="F7" s="272">
        <v>452.6</v>
      </c>
      <c r="G7" s="273">
        <v>750</v>
      </c>
    </row>
    <row r="8" spans="1:7" s="260" customFormat="1" ht="12.75" customHeight="1">
      <c r="A8" s="274">
        <v>330</v>
      </c>
      <c r="B8" s="262"/>
      <c r="C8" s="263" t="s">
        <v>228</v>
      </c>
      <c r="D8" s="275">
        <v>12020.5</v>
      </c>
      <c r="E8" s="275">
        <v>8915</v>
      </c>
      <c r="F8" s="266">
        <v>8712.6</v>
      </c>
      <c r="G8" s="276">
        <v>7898</v>
      </c>
    </row>
    <row r="9" spans="1:7" s="260" customFormat="1" ht="12.75" customHeight="1">
      <c r="A9" s="274">
        <v>332</v>
      </c>
      <c r="B9" s="262"/>
      <c r="C9" s="263" t="s">
        <v>229</v>
      </c>
      <c r="D9" s="275">
        <v>226</v>
      </c>
      <c r="E9" s="275">
        <v>388</v>
      </c>
      <c r="F9" s="266">
        <v>574.3</v>
      </c>
      <c r="G9" s="276">
        <v>673</v>
      </c>
    </row>
    <row r="10" spans="1:7" s="260" customFormat="1" ht="12.75" customHeight="1">
      <c r="A10" s="274">
        <v>339</v>
      </c>
      <c r="B10" s="262"/>
      <c r="C10" s="263" t="s">
        <v>230</v>
      </c>
      <c r="D10" s="275">
        <v>0</v>
      </c>
      <c r="E10" s="275">
        <v>0</v>
      </c>
      <c r="F10" s="266">
        <v>0</v>
      </c>
      <c r="G10" s="276">
        <v>0</v>
      </c>
    </row>
    <row r="11" spans="1:7" s="260" customFormat="1" ht="12.75" customHeight="1">
      <c r="A11" s="261">
        <v>350</v>
      </c>
      <c r="B11" s="262"/>
      <c r="C11" s="263" t="s">
        <v>231</v>
      </c>
      <c r="D11" s="275">
        <v>234.3</v>
      </c>
      <c r="E11" s="275">
        <v>0</v>
      </c>
      <c r="F11" s="275">
        <v>228.7</v>
      </c>
      <c r="G11" s="277">
        <v>0.3</v>
      </c>
    </row>
    <row r="12" spans="1:7" s="285" customFormat="1" ht="25.5">
      <c r="A12" s="278">
        <v>351</v>
      </c>
      <c r="B12" s="279"/>
      <c r="C12" s="280" t="s">
        <v>232</v>
      </c>
      <c r="D12" s="282">
        <v>900.47</v>
      </c>
      <c r="E12" s="282">
        <v>244.1</v>
      </c>
      <c r="F12" s="283">
        <v>1090.7</v>
      </c>
      <c r="G12" s="482">
        <v>189.1</v>
      </c>
    </row>
    <row r="13" spans="1:7" s="260" customFormat="1" ht="12.75" customHeight="1">
      <c r="A13" s="261">
        <v>36</v>
      </c>
      <c r="B13" s="262"/>
      <c r="C13" s="263" t="s">
        <v>233</v>
      </c>
      <c r="D13" s="275">
        <v>192488</v>
      </c>
      <c r="E13" s="264">
        <v>191756</v>
      </c>
      <c r="F13" s="266">
        <v>191174.5</v>
      </c>
      <c r="G13" s="276">
        <v>194069.2</v>
      </c>
    </row>
    <row r="14" spans="1:7" s="355" customFormat="1" ht="12.75">
      <c r="A14" s="287" t="s">
        <v>234</v>
      </c>
      <c r="B14" s="354"/>
      <c r="C14" s="288" t="s">
        <v>235</v>
      </c>
      <c r="D14" s="404">
        <v>24664.3</v>
      </c>
      <c r="E14" s="530">
        <v>26415</v>
      </c>
      <c r="F14" s="312">
        <v>23434.4</v>
      </c>
      <c r="G14" s="321">
        <v>26338</v>
      </c>
    </row>
    <row r="15" spans="1:7" s="355" customFormat="1" ht="12.75">
      <c r="A15" s="287" t="s">
        <v>236</v>
      </c>
      <c r="B15" s="354"/>
      <c r="C15" s="288" t="s">
        <v>237</v>
      </c>
      <c r="D15" s="404">
        <v>6656.2</v>
      </c>
      <c r="E15" s="530">
        <v>6643.7</v>
      </c>
      <c r="F15" s="312">
        <v>6944.8</v>
      </c>
      <c r="G15" s="321">
        <v>7224</v>
      </c>
    </row>
    <row r="16" spans="1:7" s="297" customFormat="1" ht="26.25" customHeight="1">
      <c r="A16" s="287" t="s">
        <v>238</v>
      </c>
      <c r="B16" s="483"/>
      <c r="C16" s="288" t="s">
        <v>239</v>
      </c>
      <c r="D16" s="293">
        <v>13981.9</v>
      </c>
      <c r="E16" s="294">
        <v>9573</v>
      </c>
      <c r="F16" s="529">
        <v>8947.5</v>
      </c>
      <c r="G16" s="296">
        <v>10313</v>
      </c>
    </row>
    <row r="17" spans="1:7" s="299" customFormat="1" ht="12.75">
      <c r="A17" s="261">
        <v>37</v>
      </c>
      <c r="B17" s="262"/>
      <c r="C17" s="263" t="s">
        <v>240</v>
      </c>
      <c r="D17" s="316">
        <v>22038.5</v>
      </c>
      <c r="E17" s="264">
        <v>22356</v>
      </c>
      <c r="F17" s="286">
        <v>22093.4</v>
      </c>
      <c r="G17" s="298">
        <v>22255.7</v>
      </c>
    </row>
    <row r="18" spans="1:7" s="299" customFormat="1" ht="12.75">
      <c r="A18" s="322" t="s">
        <v>241</v>
      </c>
      <c r="B18" s="269"/>
      <c r="C18" s="270" t="s">
        <v>242</v>
      </c>
      <c r="D18" s="485">
        <v>0</v>
      </c>
      <c r="E18" s="323">
        <v>0</v>
      </c>
      <c r="F18" s="286">
        <v>0</v>
      </c>
      <c r="G18" s="298">
        <v>0</v>
      </c>
    </row>
    <row r="19" spans="1:7" s="299" customFormat="1" ht="12.75">
      <c r="A19" s="322" t="s">
        <v>243</v>
      </c>
      <c r="B19" s="269"/>
      <c r="C19" s="270" t="s">
        <v>244</v>
      </c>
      <c r="D19" s="485">
        <v>0</v>
      </c>
      <c r="E19" s="323">
        <v>3</v>
      </c>
      <c r="F19" s="286">
        <v>0</v>
      </c>
      <c r="G19" s="298">
        <v>0</v>
      </c>
    </row>
    <row r="20" spans="1:7" s="260" customFormat="1" ht="12.75" customHeight="1">
      <c r="A20" s="301">
        <v>39</v>
      </c>
      <c r="B20" s="302"/>
      <c r="C20" s="303" t="s">
        <v>245</v>
      </c>
      <c r="D20" s="306">
        <v>28204.3</v>
      </c>
      <c r="E20" s="304">
        <v>27979.4</v>
      </c>
      <c r="F20" s="307">
        <v>28857.8</v>
      </c>
      <c r="G20" s="308">
        <v>28686.1</v>
      </c>
    </row>
    <row r="21" spans="1:7" ht="12.75" customHeight="1">
      <c r="A21" s="309"/>
      <c r="B21" s="309"/>
      <c r="C21" s="310" t="s">
        <v>246</v>
      </c>
      <c r="D21" s="311">
        <f>D4+D5+SUM(D8:D13)+D17</f>
        <v>324973.87</v>
      </c>
      <c r="E21" s="311">
        <f>E4+E5+SUM(E8:E13)+E17</f>
        <v>323250.4</v>
      </c>
      <c r="F21" s="311">
        <f>F4+F5+SUM(F8:F13)+F17</f>
        <v>323012.7</v>
      </c>
      <c r="G21" s="311">
        <f>G4+G5+SUM(G8:G13)+G17</f>
        <v>326725.00000000006</v>
      </c>
    </row>
    <row r="22" spans="1:7" s="260" customFormat="1" ht="12.75" customHeight="1">
      <c r="A22" s="274" t="s">
        <v>247</v>
      </c>
      <c r="B22" s="262"/>
      <c r="C22" s="263" t="s">
        <v>248</v>
      </c>
      <c r="D22" s="275">
        <f>124291.2+10265.5</f>
        <v>134556.7</v>
      </c>
      <c r="E22" s="275">
        <v>142300</v>
      </c>
      <c r="F22" s="266">
        <v>138090</v>
      </c>
      <c r="G22" s="276">
        <v>145200</v>
      </c>
    </row>
    <row r="23" spans="1:7" s="260" customFormat="1" ht="12.75" customHeight="1">
      <c r="A23" s="274" t="s">
        <v>249</v>
      </c>
      <c r="B23" s="262"/>
      <c r="C23" s="263" t="s">
        <v>250</v>
      </c>
      <c r="D23" s="275">
        <f>15019.8+10715.9</f>
        <v>25735.699999999997</v>
      </c>
      <c r="E23" s="275">
        <v>27265</v>
      </c>
      <c r="F23" s="266">
        <v>26596.2</v>
      </c>
      <c r="G23" s="276">
        <v>26140</v>
      </c>
    </row>
    <row r="24" spans="1:7" s="313" customFormat="1" ht="12.75" customHeight="1">
      <c r="A24" s="261">
        <v>41</v>
      </c>
      <c r="B24" s="262"/>
      <c r="C24" s="263" t="s">
        <v>251</v>
      </c>
      <c r="D24" s="275">
        <v>17288</v>
      </c>
      <c r="E24" s="275">
        <v>8962</v>
      </c>
      <c r="F24" s="266">
        <v>11968.8</v>
      </c>
      <c r="G24" s="276">
        <v>12181</v>
      </c>
    </row>
    <row r="25" spans="1:7" s="260" customFormat="1" ht="12.75" customHeight="1">
      <c r="A25" s="314">
        <v>42</v>
      </c>
      <c r="B25" s="315"/>
      <c r="C25" s="263" t="s">
        <v>252</v>
      </c>
      <c r="D25" s="275">
        <v>22944.2</v>
      </c>
      <c r="E25" s="275">
        <v>20723.6</v>
      </c>
      <c r="F25" s="266">
        <v>20958.1</v>
      </c>
      <c r="G25" s="276">
        <v>20566.5</v>
      </c>
    </row>
    <row r="26" spans="1:7" s="318" customFormat="1" ht="12.75" customHeight="1">
      <c r="A26" s="278">
        <v>430</v>
      </c>
      <c r="B26" s="262"/>
      <c r="C26" s="263" t="s">
        <v>253</v>
      </c>
      <c r="D26" s="316">
        <v>12.3</v>
      </c>
      <c r="E26" s="316">
        <v>1</v>
      </c>
      <c r="F26" s="317">
        <v>65.1</v>
      </c>
      <c r="G26" s="298">
        <v>2</v>
      </c>
    </row>
    <row r="27" spans="1:7" s="318" customFormat="1" ht="12.75" customHeight="1">
      <c r="A27" s="278">
        <v>431</v>
      </c>
      <c r="B27" s="262"/>
      <c r="C27" s="263" t="s">
        <v>254</v>
      </c>
      <c r="D27" s="316">
        <v>62.9</v>
      </c>
      <c r="E27" s="316">
        <v>30</v>
      </c>
      <c r="F27" s="317">
        <v>4.2</v>
      </c>
      <c r="G27" s="298">
        <v>40</v>
      </c>
    </row>
    <row r="28" spans="1:7" s="318" customFormat="1" ht="12.75" customHeight="1">
      <c r="A28" s="278">
        <v>432</v>
      </c>
      <c r="B28" s="262"/>
      <c r="C28" s="263" t="s">
        <v>255</v>
      </c>
      <c r="D28" s="316">
        <v>0</v>
      </c>
      <c r="E28" s="316">
        <v>0</v>
      </c>
      <c r="F28" s="317">
        <v>0</v>
      </c>
      <c r="G28" s="298"/>
    </row>
    <row r="29" spans="1:7" s="318" customFormat="1" ht="12.75" customHeight="1">
      <c r="A29" s="278">
        <v>439</v>
      </c>
      <c r="B29" s="262"/>
      <c r="C29" s="263" t="s">
        <v>256</v>
      </c>
      <c r="D29" s="316">
        <v>0</v>
      </c>
      <c r="E29" s="316">
        <v>0</v>
      </c>
      <c r="F29" s="317">
        <v>0</v>
      </c>
      <c r="G29" s="298"/>
    </row>
    <row r="30" spans="1:7" s="260" customFormat="1" ht="25.5">
      <c r="A30" s="525">
        <v>450</v>
      </c>
      <c r="B30" s="524"/>
      <c r="C30" s="523" t="s">
        <v>257</v>
      </c>
      <c r="D30" s="528">
        <v>58.099999999999966</v>
      </c>
      <c r="E30" s="527">
        <v>105.1</v>
      </c>
      <c r="F30" s="527">
        <v>57</v>
      </c>
      <c r="G30" s="526">
        <v>168.9</v>
      </c>
    </row>
    <row r="31" spans="1:7" s="285" customFormat="1" ht="25.5">
      <c r="A31" s="525">
        <v>451</v>
      </c>
      <c r="B31" s="524"/>
      <c r="C31" s="523" t="s">
        <v>258</v>
      </c>
      <c r="D31" s="265">
        <v>507.2</v>
      </c>
      <c r="E31" s="265">
        <v>278.4</v>
      </c>
      <c r="F31" s="522">
        <v>195.15</v>
      </c>
      <c r="G31" s="521">
        <v>77.8</v>
      </c>
    </row>
    <row r="32" spans="1:7" s="260" customFormat="1" ht="12.75" customHeight="1">
      <c r="A32" s="261">
        <v>46</v>
      </c>
      <c r="B32" s="262"/>
      <c r="C32" s="263" t="s">
        <v>259</v>
      </c>
      <c r="D32" s="275">
        <v>78341.9</v>
      </c>
      <c r="E32" s="275">
        <v>81046.2</v>
      </c>
      <c r="F32" s="266">
        <v>83435.3</v>
      </c>
      <c r="G32" s="276">
        <v>81318.3</v>
      </c>
    </row>
    <row r="33" spans="1:7" s="285" customFormat="1" ht="12.75" customHeight="1">
      <c r="A33" s="322" t="s">
        <v>260</v>
      </c>
      <c r="B33" s="269"/>
      <c r="C33" s="270" t="s">
        <v>261</v>
      </c>
      <c r="D33" s="271">
        <v>0</v>
      </c>
      <c r="E33" s="275">
        <v>0</v>
      </c>
      <c r="F33" s="266">
        <v>0</v>
      </c>
      <c r="G33" s="273">
        <v>0</v>
      </c>
    </row>
    <row r="34" spans="1:7" s="260" customFormat="1" ht="15" customHeight="1">
      <c r="A34" s="261">
        <v>47</v>
      </c>
      <c r="B34" s="262"/>
      <c r="C34" s="263" t="s">
        <v>240</v>
      </c>
      <c r="D34" s="275">
        <v>22038.5</v>
      </c>
      <c r="E34" s="275">
        <v>22356</v>
      </c>
      <c r="F34" s="266">
        <v>22093.4</v>
      </c>
      <c r="G34" s="276">
        <v>22255.7</v>
      </c>
    </row>
    <row r="35" spans="1:7" s="260" customFormat="1" ht="15" customHeight="1">
      <c r="A35" s="301">
        <v>49</v>
      </c>
      <c r="B35" s="302"/>
      <c r="C35" s="303" t="s">
        <v>262</v>
      </c>
      <c r="D35" s="306">
        <v>28204.3</v>
      </c>
      <c r="E35" s="304">
        <v>27979.4</v>
      </c>
      <c r="F35" s="307">
        <v>28857.8</v>
      </c>
      <c r="G35" s="308">
        <v>28686.1</v>
      </c>
    </row>
    <row r="36" spans="1:7" ht="13.5" customHeight="1">
      <c r="A36" s="309"/>
      <c r="B36" s="335"/>
      <c r="C36" s="310" t="s">
        <v>263</v>
      </c>
      <c r="D36" s="311">
        <f>D22+D23+D24+D25+D26+D27+D28+D29+D30+D31+D32+D34</f>
        <v>301545.5</v>
      </c>
      <c r="E36" s="311">
        <f>E22+E23+E24+E25+E26+E27+E28+E29+E30+E31+E32+E34</f>
        <v>303067.3</v>
      </c>
      <c r="F36" s="311">
        <f>F22+F23+F24+F25+F26+F27+F28+F29+F30+F31+F32+F34</f>
        <v>303463.25000000006</v>
      </c>
      <c r="G36" s="311">
        <f>G22+G23+G24+G25+G26+G27+G28+G29+G30+G31+G32+G34</f>
        <v>307950.2</v>
      </c>
    </row>
    <row r="37" spans="1:7" s="487" customFormat="1" ht="15" customHeight="1">
      <c r="A37" s="309"/>
      <c r="B37" s="335"/>
      <c r="C37" s="310" t="s">
        <v>264</v>
      </c>
      <c r="D37" s="311">
        <f>D36-D21</f>
        <v>-23428.369999999995</v>
      </c>
      <c r="E37" s="311">
        <f>E36-E21</f>
        <v>-20183.100000000035</v>
      </c>
      <c r="F37" s="311">
        <f>F36-F21</f>
        <v>-19549.449999999953</v>
      </c>
      <c r="G37" s="311">
        <f>G36-G21</f>
        <v>-18774.800000000047</v>
      </c>
    </row>
    <row r="38" spans="1:7" s="285" customFormat="1" ht="15" customHeight="1">
      <c r="A38" s="274">
        <v>340</v>
      </c>
      <c r="B38" s="262"/>
      <c r="C38" s="263" t="s">
        <v>265</v>
      </c>
      <c r="D38" s="275">
        <v>3739.8</v>
      </c>
      <c r="E38" s="264">
        <v>3027.5</v>
      </c>
      <c r="F38" s="286">
        <v>3222</v>
      </c>
      <c r="G38" s="276">
        <v>3046.5</v>
      </c>
    </row>
    <row r="39" spans="1:7" s="285" customFormat="1" ht="15" customHeight="1">
      <c r="A39" s="274">
        <v>341</v>
      </c>
      <c r="B39" s="262"/>
      <c r="C39" s="263" t="s">
        <v>266</v>
      </c>
      <c r="D39" s="275">
        <v>322.58</v>
      </c>
      <c r="E39" s="275">
        <v>0</v>
      </c>
      <c r="F39" s="266">
        <v>0.3</v>
      </c>
      <c r="G39" s="276">
        <v>10</v>
      </c>
    </row>
    <row r="40" spans="1:7" s="285" customFormat="1" ht="15" customHeight="1">
      <c r="A40" s="274">
        <v>342</v>
      </c>
      <c r="B40" s="262"/>
      <c r="C40" s="263" t="s">
        <v>267</v>
      </c>
      <c r="D40" s="275">
        <v>0</v>
      </c>
      <c r="E40" s="275">
        <v>0</v>
      </c>
      <c r="F40" s="266">
        <v>66.7</v>
      </c>
      <c r="G40" s="276">
        <v>0</v>
      </c>
    </row>
    <row r="41" spans="1:7" s="285" customFormat="1" ht="15" customHeight="1">
      <c r="A41" s="274">
        <v>343</v>
      </c>
      <c r="B41" s="262"/>
      <c r="C41" s="263" t="s">
        <v>268</v>
      </c>
      <c r="D41" s="275">
        <v>13.1</v>
      </c>
      <c r="E41" s="275">
        <v>20</v>
      </c>
      <c r="F41" s="266">
        <v>12.1</v>
      </c>
      <c r="G41" s="276">
        <v>14</v>
      </c>
    </row>
    <row r="42" spans="1:7" s="285" customFormat="1" ht="15" customHeight="1">
      <c r="A42" s="274">
        <v>344</v>
      </c>
      <c r="B42" s="262"/>
      <c r="C42" s="263" t="s">
        <v>269</v>
      </c>
      <c r="D42" s="275">
        <v>6.2</v>
      </c>
      <c r="E42" s="275">
        <v>0</v>
      </c>
      <c r="F42" s="266">
        <v>0</v>
      </c>
      <c r="G42" s="276">
        <v>0</v>
      </c>
    </row>
    <row r="43" spans="1:7" s="285" customFormat="1" ht="15" customHeight="1">
      <c r="A43" s="274">
        <v>349</v>
      </c>
      <c r="B43" s="262"/>
      <c r="C43" s="263" t="s">
        <v>270</v>
      </c>
      <c r="D43" s="275">
        <v>0</v>
      </c>
      <c r="E43" s="275">
        <v>0</v>
      </c>
      <c r="F43" s="266">
        <v>0</v>
      </c>
      <c r="G43" s="276">
        <v>0</v>
      </c>
    </row>
    <row r="44" spans="1:7" s="260" customFormat="1" ht="15" customHeight="1">
      <c r="A44" s="261">
        <v>440</v>
      </c>
      <c r="B44" s="262"/>
      <c r="C44" s="263" t="s">
        <v>271</v>
      </c>
      <c r="D44" s="275">
        <v>2753.7</v>
      </c>
      <c r="E44" s="264">
        <v>2485.7</v>
      </c>
      <c r="F44" s="286">
        <v>2377.9</v>
      </c>
      <c r="G44" s="276">
        <v>2400.8</v>
      </c>
    </row>
    <row r="45" spans="1:7" s="260" customFormat="1" ht="15" customHeight="1">
      <c r="A45" s="261">
        <v>441</v>
      </c>
      <c r="B45" s="262"/>
      <c r="C45" s="263" t="s">
        <v>272</v>
      </c>
      <c r="D45" s="275">
        <v>12.5</v>
      </c>
      <c r="E45" s="264">
        <v>0</v>
      </c>
      <c r="F45" s="286">
        <v>0</v>
      </c>
      <c r="G45" s="276">
        <v>0</v>
      </c>
    </row>
    <row r="46" spans="1:7" s="260" customFormat="1" ht="15" customHeight="1">
      <c r="A46" s="261">
        <v>442</v>
      </c>
      <c r="B46" s="262"/>
      <c r="C46" s="263" t="s">
        <v>273</v>
      </c>
      <c r="D46" s="275">
        <v>5.4</v>
      </c>
      <c r="E46" s="264">
        <v>3.5</v>
      </c>
      <c r="F46" s="286">
        <v>3.7</v>
      </c>
      <c r="G46" s="276">
        <v>3.5</v>
      </c>
    </row>
    <row r="47" spans="1:7" s="260" customFormat="1" ht="15" customHeight="1">
      <c r="A47" s="261">
        <v>443</v>
      </c>
      <c r="B47" s="262"/>
      <c r="C47" s="263" t="s">
        <v>274</v>
      </c>
      <c r="D47" s="275">
        <v>178.7</v>
      </c>
      <c r="E47" s="264">
        <v>136</v>
      </c>
      <c r="F47" s="286">
        <v>161.5</v>
      </c>
      <c r="G47" s="276">
        <v>150</v>
      </c>
    </row>
    <row r="48" spans="1:7" s="260" customFormat="1" ht="15" customHeight="1">
      <c r="A48" s="261">
        <v>444</v>
      </c>
      <c r="B48" s="262"/>
      <c r="C48" s="263" t="s">
        <v>269</v>
      </c>
      <c r="D48" s="275">
        <v>165.1</v>
      </c>
      <c r="E48" s="264">
        <v>0</v>
      </c>
      <c r="F48" s="286">
        <v>-1</v>
      </c>
      <c r="G48" s="276">
        <v>0</v>
      </c>
    </row>
    <row r="49" spans="1:7" s="260" customFormat="1" ht="15" customHeight="1">
      <c r="A49" s="261">
        <v>445</v>
      </c>
      <c r="B49" s="262"/>
      <c r="C49" s="263" t="s">
        <v>275</v>
      </c>
      <c r="D49" s="275">
        <v>79.5</v>
      </c>
      <c r="E49" s="264">
        <v>90</v>
      </c>
      <c r="F49" s="286">
        <v>38.5</v>
      </c>
      <c r="G49" s="276">
        <v>90</v>
      </c>
    </row>
    <row r="50" spans="1:7" s="260" customFormat="1" ht="15" customHeight="1">
      <c r="A50" s="261">
        <v>446</v>
      </c>
      <c r="B50" s="262"/>
      <c r="C50" s="263" t="s">
        <v>276</v>
      </c>
      <c r="D50" s="275">
        <v>14180.1</v>
      </c>
      <c r="E50" s="264">
        <v>12818.3</v>
      </c>
      <c r="F50" s="286">
        <v>12989.5</v>
      </c>
      <c r="G50" s="276">
        <v>12897.5</v>
      </c>
    </row>
    <row r="51" spans="1:7" s="260" customFormat="1" ht="15" customHeight="1">
      <c r="A51" s="261">
        <v>447</v>
      </c>
      <c r="B51" s="262"/>
      <c r="C51" s="263" t="s">
        <v>277</v>
      </c>
      <c r="D51" s="275">
        <v>6191.9</v>
      </c>
      <c r="E51" s="264">
        <v>1985</v>
      </c>
      <c r="F51" s="286">
        <v>2047.5</v>
      </c>
      <c r="G51" s="276">
        <v>1971.3</v>
      </c>
    </row>
    <row r="52" spans="1:7" s="260" customFormat="1" ht="15" customHeight="1">
      <c r="A52" s="261">
        <v>448</v>
      </c>
      <c r="B52" s="262"/>
      <c r="C52" s="263" t="s">
        <v>278</v>
      </c>
      <c r="D52" s="275">
        <v>0</v>
      </c>
      <c r="E52" s="264">
        <v>0</v>
      </c>
      <c r="F52" s="286">
        <v>0</v>
      </c>
      <c r="G52" s="276">
        <v>0</v>
      </c>
    </row>
    <row r="53" spans="1:7" s="260" customFormat="1" ht="15" customHeight="1">
      <c r="A53" s="261">
        <v>449</v>
      </c>
      <c r="B53" s="262"/>
      <c r="C53" s="263" t="s">
        <v>279</v>
      </c>
      <c r="D53" s="275">
        <v>0</v>
      </c>
      <c r="E53" s="264">
        <v>0</v>
      </c>
      <c r="F53" s="286">
        <v>0</v>
      </c>
      <c r="G53" s="276">
        <v>0</v>
      </c>
    </row>
    <row r="54" spans="1:7" s="285" customFormat="1" ht="13.5" customHeight="1">
      <c r="A54" s="329" t="s">
        <v>280</v>
      </c>
      <c r="B54" s="330"/>
      <c r="C54" s="330" t="s">
        <v>281</v>
      </c>
      <c r="D54" s="332">
        <v>0</v>
      </c>
      <c r="E54" s="331">
        <v>0</v>
      </c>
      <c r="F54" s="333">
        <v>0</v>
      </c>
      <c r="G54" s="334">
        <v>0</v>
      </c>
    </row>
    <row r="55" spans="1:7" ht="15" customHeight="1">
      <c r="A55" s="335"/>
      <c r="B55" s="335"/>
      <c r="C55" s="310" t="s">
        <v>282</v>
      </c>
      <c r="D55" s="311">
        <f>SUM(D44:D53)-SUM(D38:D43)</f>
        <v>19485.22</v>
      </c>
      <c r="E55" s="311">
        <f>SUM(E44:E53)-SUM(E38:E43)</f>
        <v>14471</v>
      </c>
      <c r="F55" s="311">
        <f>SUM(F44:F53)-SUM(F38:F43)</f>
        <v>14316.499999999998</v>
      </c>
      <c r="G55" s="311">
        <f>SUM(G44:G53)-SUM(G38:G43)</f>
        <v>14442.599999999999</v>
      </c>
    </row>
    <row r="56" spans="1:7" ht="14.25" customHeight="1">
      <c r="A56" s="335"/>
      <c r="B56" s="335"/>
      <c r="C56" s="310" t="s">
        <v>283</v>
      </c>
      <c r="D56" s="311">
        <f>D55+D37</f>
        <v>-3943.149999999994</v>
      </c>
      <c r="E56" s="311">
        <f>E55+E37</f>
        <v>-5712.100000000035</v>
      </c>
      <c r="F56" s="311">
        <f>F55+F37</f>
        <v>-5232.949999999955</v>
      </c>
      <c r="G56" s="311">
        <f>G55+G37</f>
        <v>-4332.200000000048</v>
      </c>
    </row>
    <row r="57" spans="1:7" s="260" customFormat="1" ht="15.75" customHeight="1">
      <c r="A57" s="336">
        <v>380</v>
      </c>
      <c r="B57" s="337"/>
      <c r="C57" s="338" t="s">
        <v>284</v>
      </c>
      <c r="D57" s="340">
        <v>0</v>
      </c>
      <c r="E57" s="339">
        <v>0</v>
      </c>
      <c r="F57" s="341">
        <v>0</v>
      </c>
      <c r="G57" s="342">
        <v>-600</v>
      </c>
    </row>
    <row r="58" spans="1:7" s="260" customFormat="1" ht="15.75" customHeight="1">
      <c r="A58" s="336">
        <v>381</v>
      </c>
      <c r="B58" s="337"/>
      <c r="C58" s="338" t="s">
        <v>285</v>
      </c>
      <c r="D58" s="340">
        <v>0</v>
      </c>
      <c r="E58" s="339">
        <v>0</v>
      </c>
      <c r="F58" s="341">
        <v>0</v>
      </c>
      <c r="G58" s="342"/>
    </row>
    <row r="59" spans="1:7" s="285" customFormat="1" ht="25.5">
      <c r="A59" s="278">
        <v>383</v>
      </c>
      <c r="B59" s="279"/>
      <c r="C59" s="280" t="s">
        <v>286</v>
      </c>
      <c r="D59" s="344">
        <v>-27591.9</v>
      </c>
      <c r="E59" s="343">
        <v>1520</v>
      </c>
      <c r="F59" s="345">
        <v>1449.6</v>
      </c>
      <c r="G59" s="321">
        <v>-2969</v>
      </c>
    </row>
    <row r="60" spans="1:7" s="285" customFormat="1" ht="12.75">
      <c r="A60" s="278">
        <v>3840</v>
      </c>
      <c r="B60" s="279"/>
      <c r="C60" s="280" t="s">
        <v>287</v>
      </c>
      <c r="D60" s="346">
        <v>0</v>
      </c>
      <c r="E60" s="346">
        <v>0</v>
      </c>
      <c r="F60" s="508">
        <v>0</v>
      </c>
      <c r="G60" s="482">
        <v>0</v>
      </c>
    </row>
    <row r="61" spans="1:7" s="285" customFormat="1" ht="25.5">
      <c r="A61" s="278">
        <v>3841</v>
      </c>
      <c r="B61" s="279"/>
      <c r="C61" s="280" t="s">
        <v>288</v>
      </c>
      <c r="D61" s="346">
        <v>0</v>
      </c>
      <c r="E61" s="346">
        <v>0</v>
      </c>
      <c r="F61" s="508">
        <v>0</v>
      </c>
      <c r="G61" s="482">
        <v>0</v>
      </c>
    </row>
    <row r="62" spans="1:7" s="285" customFormat="1" ht="12.75">
      <c r="A62" s="349">
        <v>386</v>
      </c>
      <c r="B62" s="350"/>
      <c r="C62" s="351" t="s">
        <v>289</v>
      </c>
      <c r="D62" s="346">
        <v>0</v>
      </c>
      <c r="E62" s="346">
        <v>0</v>
      </c>
      <c r="F62" s="508">
        <v>0</v>
      </c>
      <c r="G62" s="482">
        <v>0</v>
      </c>
    </row>
    <row r="63" spans="1:7" s="285" customFormat="1" ht="25.5">
      <c r="A63" s="278">
        <v>387</v>
      </c>
      <c r="B63" s="279"/>
      <c r="C63" s="280" t="s">
        <v>290</v>
      </c>
      <c r="D63" s="346">
        <v>4507.1</v>
      </c>
      <c r="E63" s="346">
        <v>2189</v>
      </c>
      <c r="F63" s="508">
        <v>-1268.4</v>
      </c>
      <c r="G63" s="482">
        <v>4385</v>
      </c>
    </row>
    <row r="64" spans="1:7" s="285" customFormat="1" ht="12.75">
      <c r="A64" s="274">
        <v>389</v>
      </c>
      <c r="B64" s="352"/>
      <c r="C64" s="263" t="s">
        <v>57</v>
      </c>
      <c r="D64" s="275">
        <v>21821.4</v>
      </c>
      <c r="E64" s="275">
        <v>0</v>
      </c>
      <c r="F64" s="266">
        <v>0</v>
      </c>
      <c r="G64" s="276">
        <v>0</v>
      </c>
    </row>
    <row r="65" spans="1:7" s="260" customFormat="1" ht="12.75">
      <c r="A65" s="274" t="s">
        <v>291</v>
      </c>
      <c r="B65" s="262"/>
      <c r="C65" s="263" t="s">
        <v>292</v>
      </c>
      <c r="D65" s="275">
        <v>0</v>
      </c>
      <c r="E65" s="275">
        <v>0</v>
      </c>
      <c r="F65" s="266">
        <v>0</v>
      </c>
      <c r="G65" s="276">
        <v>0</v>
      </c>
    </row>
    <row r="66" spans="1:7" s="355" customFormat="1" ht="25.5">
      <c r="A66" s="492" t="s">
        <v>293</v>
      </c>
      <c r="B66" s="354"/>
      <c r="C66" s="280" t="s">
        <v>294</v>
      </c>
      <c r="D66" s="344">
        <v>0</v>
      </c>
      <c r="E66" s="344">
        <v>0</v>
      </c>
      <c r="F66" s="312">
        <v>0</v>
      </c>
      <c r="G66" s="321">
        <v>0</v>
      </c>
    </row>
    <row r="67" spans="1:7" s="260" customFormat="1" ht="12.75">
      <c r="A67" s="353">
        <v>481</v>
      </c>
      <c r="B67" s="262"/>
      <c r="C67" s="263" t="s">
        <v>295</v>
      </c>
      <c r="D67" s="275">
        <v>0</v>
      </c>
      <c r="E67" s="275">
        <v>0</v>
      </c>
      <c r="F67" s="266">
        <v>0</v>
      </c>
      <c r="G67" s="276">
        <v>0</v>
      </c>
    </row>
    <row r="68" spans="1:7" s="260" customFormat="1" ht="12.75">
      <c r="A68" s="353">
        <v>482</v>
      </c>
      <c r="B68" s="262"/>
      <c r="C68" s="263" t="s">
        <v>296</v>
      </c>
      <c r="D68" s="275">
        <v>0</v>
      </c>
      <c r="E68" s="275">
        <v>0</v>
      </c>
      <c r="F68" s="266">
        <v>0</v>
      </c>
      <c r="G68" s="276">
        <v>0</v>
      </c>
    </row>
    <row r="69" spans="1:7" s="260" customFormat="1" ht="12.75">
      <c r="A69" s="353">
        <v>483</v>
      </c>
      <c r="B69" s="262"/>
      <c r="C69" s="263" t="s">
        <v>297</v>
      </c>
      <c r="D69" s="275">
        <v>0</v>
      </c>
      <c r="E69" s="275">
        <v>0</v>
      </c>
      <c r="F69" s="266">
        <v>0</v>
      </c>
      <c r="G69" s="276">
        <v>0</v>
      </c>
    </row>
    <row r="70" spans="1:7" s="260" customFormat="1" ht="12.75">
      <c r="A70" s="353">
        <v>484</v>
      </c>
      <c r="B70" s="262"/>
      <c r="C70" s="263" t="s">
        <v>298</v>
      </c>
      <c r="D70" s="275">
        <v>0</v>
      </c>
      <c r="E70" s="275">
        <v>0</v>
      </c>
      <c r="F70" s="266">
        <v>0</v>
      </c>
      <c r="G70" s="276"/>
    </row>
    <row r="71" spans="1:7" s="260" customFormat="1" ht="12.75">
      <c r="A71" s="353">
        <v>485</v>
      </c>
      <c r="B71" s="262"/>
      <c r="C71" s="263" t="s">
        <v>299</v>
      </c>
      <c r="D71" s="275">
        <v>0</v>
      </c>
      <c r="E71" s="275">
        <v>0</v>
      </c>
      <c r="F71" s="266">
        <v>0</v>
      </c>
      <c r="G71" s="276"/>
    </row>
    <row r="72" spans="1:7" s="260" customFormat="1" ht="12.75">
      <c r="A72" s="353">
        <v>486</v>
      </c>
      <c r="B72" s="262"/>
      <c r="C72" s="263" t="s">
        <v>300</v>
      </c>
      <c r="D72" s="275">
        <v>0</v>
      </c>
      <c r="E72" s="275">
        <v>0</v>
      </c>
      <c r="F72" s="266">
        <v>0</v>
      </c>
      <c r="G72" s="276"/>
    </row>
    <row r="73" spans="1:7" s="285" customFormat="1" ht="12.75">
      <c r="A73" s="353">
        <v>487</v>
      </c>
      <c r="B73" s="269"/>
      <c r="C73" s="263" t="s">
        <v>301</v>
      </c>
      <c r="D73" s="275">
        <v>0</v>
      </c>
      <c r="E73" s="264">
        <v>0</v>
      </c>
      <c r="F73" s="286">
        <v>0</v>
      </c>
      <c r="G73" s="276">
        <v>0</v>
      </c>
    </row>
    <row r="74" spans="1:7" s="285" customFormat="1" ht="12.75">
      <c r="A74" s="353">
        <v>489</v>
      </c>
      <c r="B74" s="356"/>
      <c r="C74" s="303" t="s">
        <v>74</v>
      </c>
      <c r="D74" s="275">
        <v>3288</v>
      </c>
      <c r="E74" s="264">
        <v>8977</v>
      </c>
      <c r="F74" s="286">
        <v>5577</v>
      </c>
      <c r="G74" s="276">
        <v>4748</v>
      </c>
    </row>
    <row r="75" spans="1:7" s="285" customFormat="1" ht="12.75">
      <c r="A75" s="357" t="s">
        <v>302</v>
      </c>
      <c r="B75" s="356"/>
      <c r="C75" s="330" t="s">
        <v>303</v>
      </c>
      <c r="D75" s="275">
        <v>0</v>
      </c>
      <c r="E75" s="275">
        <v>0</v>
      </c>
      <c r="F75" s="266">
        <v>0</v>
      </c>
      <c r="G75" s="276"/>
    </row>
    <row r="76" spans="1:7" ht="12.75">
      <c r="A76" s="309"/>
      <c r="B76" s="309"/>
      <c r="C76" s="310" t="s">
        <v>304</v>
      </c>
      <c r="D76" s="311">
        <f>SUM(D65:D74)-SUM(D57:D64)</f>
        <v>4551.4000000000015</v>
      </c>
      <c r="E76" s="311">
        <f>SUM(E65:E74)-SUM(E57:E64)</f>
        <v>5268</v>
      </c>
      <c r="F76" s="311">
        <f>SUM(F65:F74)-SUM(F57:F64)</f>
        <v>5395.8</v>
      </c>
      <c r="G76" s="311">
        <f>SUM(G65:G74)-SUM(G57:G64)</f>
        <v>3932</v>
      </c>
    </row>
    <row r="77" spans="1:7" ht="12.75">
      <c r="A77" s="358"/>
      <c r="B77" s="358"/>
      <c r="C77" s="310" t="s">
        <v>305</v>
      </c>
      <c r="D77" s="311">
        <f>D56+D76</f>
        <v>608.2500000000073</v>
      </c>
      <c r="E77" s="311">
        <f>E56+E76</f>
        <v>-444.1000000000349</v>
      </c>
      <c r="F77" s="311">
        <f>F56+F76</f>
        <v>162.85000000004493</v>
      </c>
      <c r="G77" s="311">
        <f>G56+G76</f>
        <v>-400.200000000048</v>
      </c>
    </row>
    <row r="78" spans="1:7" ht="12.75">
      <c r="A78" s="359">
        <v>3</v>
      </c>
      <c r="B78" s="359"/>
      <c r="C78" s="360" t="s">
        <v>306</v>
      </c>
      <c r="D78" s="361">
        <f>D20+D21+SUM(D38:D43)+SUM(D57:D64)</f>
        <v>355996.44999999995</v>
      </c>
      <c r="E78" s="361">
        <f>E20+E21+SUM(E38:E43)+SUM(E57:E64)</f>
        <v>357986.30000000005</v>
      </c>
      <c r="F78" s="361">
        <f>F20+F21+SUM(F38:F43)+SUM(F57:F64)</f>
        <v>355352.8</v>
      </c>
      <c r="G78" s="361">
        <f>G20+G21+SUM(G38:G43)+SUM(G57:G64)</f>
        <v>359297.60000000003</v>
      </c>
    </row>
    <row r="79" spans="1:7" ht="12.75">
      <c r="A79" s="359">
        <v>4</v>
      </c>
      <c r="B79" s="359"/>
      <c r="C79" s="360" t="s">
        <v>307</v>
      </c>
      <c r="D79" s="361">
        <f>D35+D36+SUM(D44:D53)+SUM(D65:D74)</f>
        <v>356604.7</v>
      </c>
      <c r="E79" s="361">
        <f>E35+E36+SUM(E44:E53)+SUM(E65:E74)</f>
        <v>357542.2</v>
      </c>
      <c r="F79" s="361">
        <f>F35+F36+SUM(F44:F53)+SUM(F65:F74)</f>
        <v>355515.65</v>
      </c>
      <c r="G79" s="361">
        <f>G35+G36+SUM(G44:G53)+SUM(G65:G74)</f>
        <v>358897.39999999997</v>
      </c>
    </row>
    <row r="80" spans="1:7" ht="12.75">
      <c r="A80" s="362"/>
      <c r="B80" s="362"/>
      <c r="C80" s="363"/>
      <c r="D80" s="364"/>
      <c r="E80" s="364"/>
      <c r="F80" s="364"/>
      <c r="G80" s="364"/>
    </row>
    <row r="81" spans="1:7" ht="12.75">
      <c r="A81" s="611" t="s">
        <v>308</v>
      </c>
      <c r="B81" s="612"/>
      <c r="C81" s="612"/>
      <c r="D81" s="366"/>
      <c r="E81" s="365"/>
      <c r="F81" s="366"/>
      <c r="G81" s="365"/>
    </row>
    <row r="82" spans="1:7" s="260" customFormat="1" ht="12.75">
      <c r="A82" s="367">
        <v>50</v>
      </c>
      <c r="B82" s="368"/>
      <c r="C82" s="368" t="s">
        <v>309</v>
      </c>
      <c r="D82" s="275">
        <v>28454.6</v>
      </c>
      <c r="E82" s="275">
        <v>19277</v>
      </c>
      <c r="F82" s="266">
        <v>20542</v>
      </c>
      <c r="G82" s="276">
        <v>14145</v>
      </c>
    </row>
    <row r="83" spans="1:7" s="260" customFormat="1" ht="12.75">
      <c r="A83" s="367">
        <v>51</v>
      </c>
      <c r="B83" s="368"/>
      <c r="C83" s="368" t="s">
        <v>310</v>
      </c>
      <c r="D83" s="275">
        <v>813.4</v>
      </c>
      <c r="E83" s="275">
        <v>2300</v>
      </c>
      <c r="F83" s="266">
        <v>33.7</v>
      </c>
      <c r="G83" s="276">
        <v>0</v>
      </c>
    </row>
    <row r="84" spans="1:7" s="260" customFormat="1" ht="12.75">
      <c r="A84" s="367">
        <v>52</v>
      </c>
      <c r="B84" s="368"/>
      <c r="C84" s="368" t="s">
        <v>311</v>
      </c>
      <c r="D84" s="275">
        <v>1255</v>
      </c>
      <c r="E84" s="275">
        <v>1447</v>
      </c>
      <c r="F84" s="266">
        <v>1454.6</v>
      </c>
      <c r="G84" s="276">
        <v>1320</v>
      </c>
    </row>
    <row r="85" spans="1:7" s="260" customFormat="1" ht="12.75">
      <c r="A85" s="369">
        <v>54</v>
      </c>
      <c r="B85" s="370"/>
      <c r="C85" s="370" t="s">
        <v>312</v>
      </c>
      <c r="D85" s="275">
        <v>4897.4</v>
      </c>
      <c r="E85" s="275">
        <v>1765</v>
      </c>
      <c r="F85" s="266">
        <v>1610.9</v>
      </c>
      <c r="G85" s="276">
        <v>1768</v>
      </c>
    </row>
    <row r="86" spans="1:7" s="260" customFormat="1" ht="12.75">
      <c r="A86" s="367">
        <v>55</v>
      </c>
      <c r="B86" s="368"/>
      <c r="C86" s="368" t="s">
        <v>313</v>
      </c>
      <c r="D86" s="275">
        <v>40100</v>
      </c>
      <c r="E86" s="275">
        <v>0</v>
      </c>
      <c r="F86" s="266">
        <v>0</v>
      </c>
      <c r="G86" s="276">
        <v>0</v>
      </c>
    </row>
    <row r="87" spans="1:7" s="260" customFormat="1" ht="12.75">
      <c r="A87" s="367">
        <v>56</v>
      </c>
      <c r="B87" s="368"/>
      <c r="C87" s="368" t="s">
        <v>314</v>
      </c>
      <c r="D87" s="275">
        <v>23140.6</v>
      </c>
      <c r="E87" s="275">
        <v>14592</v>
      </c>
      <c r="F87" s="266">
        <v>9709.8</v>
      </c>
      <c r="G87" s="276">
        <v>20636</v>
      </c>
    </row>
    <row r="88" spans="1:7" s="260" customFormat="1" ht="12.75">
      <c r="A88" s="367">
        <v>57</v>
      </c>
      <c r="B88" s="368"/>
      <c r="C88" s="368" t="s">
        <v>315</v>
      </c>
      <c r="D88" s="275">
        <v>1074.5</v>
      </c>
      <c r="E88" s="275">
        <v>1180</v>
      </c>
      <c r="F88" s="266">
        <v>762</v>
      </c>
      <c r="G88" s="276">
        <v>1280</v>
      </c>
    </row>
    <row r="89" spans="1:7" s="260" customFormat="1" ht="12.75">
      <c r="A89" s="367">
        <v>580</v>
      </c>
      <c r="B89" s="368"/>
      <c r="C89" s="368" t="s">
        <v>316</v>
      </c>
      <c r="D89" s="275">
        <v>0</v>
      </c>
      <c r="E89" s="275">
        <v>0</v>
      </c>
      <c r="F89" s="266">
        <v>0</v>
      </c>
      <c r="G89" s="276">
        <v>0</v>
      </c>
    </row>
    <row r="90" spans="1:7" s="260" customFormat="1" ht="12.75">
      <c r="A90" s="367">
        <v>582</v>
      </c>
      <c r="B90" s="368"/>
      <c r="C90" s="368" t="s">
        <v>317</v>
      </c>
      <c r="D90" s="275">
        <v>0</v>
      </c>
      <c r="E90" s="275">
        <v>0</v>
      </c>
      <c r="F90" s="266">
        <v>0</v>
      </c>
      <c r="G90" s="276">
        <v>0</v>
      </c>
    </row>
    <row r="91" spans="1:7" s="260" customFormat="1" ht="12.75">
      <c r="A91" s="367">
        <v>584</v>
      </c>
      <c r="B91" s="368"/>
      <c r="C91" s="368" t="s">
        <v>318</v>
      </c>
      <c r="D91" s="275">
        <v>0</v>
      </c>
      <c r="E91" s="275">
        <v>0</v>
      </c>
      <c r="F91" s="266">
        <v>0</v>
      </c>
      <c r="G91" s="276">
        <v>0</v>
      </c>
    </row>
    <row r="92" spans="1:7" s="260" customFormat="1" ht="12.75">
      <c r="A92" s="367">
        <v>585</v>
      </c>
      <c r="B92" s="368"/>
      <c r="C92" s="368" t="s">
        <v>319</v>
      </c>
      <c r="D92" s="275">
        <v>0</v>
      </c>
      <c r="E92" s="275">
        <v>0</v>
      </c>
      <c r="F92" s="266">
        <v>0</v>
      </c>
      <c r="G92" s="276">
        <v>0</v>
      </c>
    </row>
    <row r="93" spans="1:7" s="260" customFormat="1" ht="12.75">
      <c r="A93" s="367">
        <v>586</v>
      </c>
      <c r="B93" s="368"/>
      <c r="C93" s="368" t="s">
        <v>320</v>
      </c>
      <c r="D93" s="275">
        <v>0</v>
      </c>
      <c r="E93" s="275">
        <v>0</v>
      </c>
      <c r="F93" s="266">
        <v>0</v>
      </c>
      <c r="G93" s="276">
        <v>0</v>
      </c>
    </row>
    <row r="94" spans="1:7" s="260" customFormat="1" ht="12.75">
      <c r="A94" s="371">
        <v>589</v>
      </c>
      <c r="B94" s="372"/>
      <c r="C94" s="372" t="s">
        <v>321</v>
      </c>
      <c r="D94" s="306">
        <v>0</v>
      </c>
      <c r="E94" s="306">
        <v>0</v>
      </c>
      <c r="F94" s="373">
        <v>0</v>
      </c>
      <c r="G94" s="308">
        <v>0</v>
      </c>
    </row>
    <row r="95" spans="1:7" ht="12.75">
      <c r="A95" s="374">
        <v>5</v>
      </c>
      <c r="B95" s="375"/>
      <c r="C95" s="375" t="s">
        <v>322</v>
      </c>
      <c r="D95" s="376">
        <f>SUM(D82:D94)</f>
        <v>99735.5</v>
      </c>
      <c r="E95" s="376">
        <f>SUM(E82:E94)</f>
        <v>40561</v>
      </c>
      <c r="F95" s="376">
        <f>SUM(F82:F94)</f>
        <v>34113</v>
      </c>
      <c r="G95" s="376">
        <f>SUM(G82:G94)</f>
        <v>39149</v>
      </c>
    </row>
    <row r="96" spans="1:7" s="260" customFormat="1" ht="12.75">
      <c r="A96" s="367">
        <v>60</v>
      </c>
      <c r="B96" s="368"/>
      <c r="C96" s="368" t="s">
        <v>323</v>
      </c>
      <c r="D96" s="275">
        <v>40000</v>
      </c>
      <c r="E96" s="275">
        <v>0</v>
      </c>
      <c r="F96" s="266">
        <v>0</v>
      </c>
      <c r="G96" s="276"/>
    </row>
    <row r="97" spans="1:7" s="260" customFormat="1" ht="12.75">
      <c r="A97" s="367">
        <v>61</v>
      </c>
      <c r="B97" s="368"/>
      <c r="C97" s="368" t="s">
        <v>324</v>
      </c>
      <c r="D97" s="275">
        <v>813.4</v>
      </c>
      <c r="E97" s="275">
        <v>2300</v>
      </c>
      <c r="F97" s="266">
        <v>33.7</v>
      </c>
      <c r="G97" s="276">
        <v>0</v>
      </c>
    </row>
    <row r="98" spans="1:7" s="260" customFormat="1" ht="12.75">
      <c r="A98" s="367">
        <v>62</v>
      </c>
      <c r="B98" s="368"/>
      <c r="C98" s="368" t="s">
        <v>325</v>
      </c>
      <c r="D98" s="275">
        <v>0</v>
      </c>
      <c r="E98" s="275">
        <v>0</v>
      </c>
      <c r="F98" s="266">
        <v>0</v>
      </c>
      <c r="G98" s="276"/>
    </row>
    <row r="99" spans="1:7" s="260" customFormat="1" ht="12.75">
      <c r="A99" s="367">
        <v>63</v>
      </c>
      <c r="B99" s="368"/>
      <c r="C99" s="368" t="s">
        <v>326</v>
      </c>
      <c r="D99" s="275">
        <v>18045.9</v>
      </c>
      <c r="E99" s="275">
        <v>7344</v>
      </c>
      <c r="F99" s="266">
        <v>9577</v>
      </c>
      <c r="G99" s="276">
        <v>11899</v>
      </c>
    </row>
    <row r="100" spans="1:7" s="260" customFormat="1" ht="12.75">
      <c r="A100" s="367">
        <v>64</v>
      </c>
      <c r="B100" s="368"/>
      <c r="C100" s="368" t="s">
        <v>327</v>
      </c>
      <c r="D100" s="275">
        <v>1317.8</v>
      </c>
      <c r="E100" s="275">
        <v>1297</v>
      </c>
      <c r="F100" s="266">
        <v>1416.1</v>
      </c>
      <c r="G100" s="276">
        <v>1244</v>
      </c>
    </row>
    <row r="101" spans="1:7" s="260" customFormat="1" ht="12.75">
      <c r="A101" s="367">
        <v>65</v>
      </c>
      <c r="B101" s="368"/>
      <c r="C101" s="368" t="s">
        <v>328</v>
      </c>
      <c r="D101" s="275">
        <v>45</v>
      </c>
      <c r="E101" s="275">
        <v>0</v>
      </c>
      <c r="F101" s="266">
        <v>0</v>
      </c>
      <c r="G101" s="276">
        <v>0</v>
      </c>
    </row>
    <row r="102" spans="1:7" s="260" customFormat="1" ht="12.75">
      <c r="A102" s="367">
        <v>66</v>
      </c>
      <c r="B102" s="368"/>
      <c r="C102" s="368" t="s">
        <v>329</v>
      </c>
      <c r="D102" s="275">
        <v>0</v>
      </c>
      <c r="E102" s="275">
        <v>0</v>
      </c>
      <c r="F102" s="266">
        <v>0</v>
      </c>
      <c r="G102" s="276"/>
    </row>
    <row r="103" spans="1:7" s="260" customFormat="1" ht="12.75">
      <c r="A103" s="367">
        <v>67</v>
      </c>
      <c r="B103" s="368"/>
      <c r="C103" s="368" t="s">
        <v>315</v>
      </c>
      <c r="D103" s="275">
        <v>1074.5</v>
      </c>
      <c r="E103" s="264">
        <v>1180</v>
      </c>
      <c r="F103" s="286">
        <v>762</v>
      </c>
      <c r="G103" s="267">
        <v>1280</v>
      </c>
    </row>
    <row r="104" spans="1:7" s="260" customFormat="1" ht="38.25">
      <c r="A104" s="377" t="s">
        <v>330</v>
      </c>
      <c r="B104" s="368"/>
      <c r="C104" s="378" t="s">
        <v>331</v>
      </c>
      <c r="D104" s="275">
        <v>0</v>
      </c>
      <c r="E104" s="264">
        <v>0</v>
      </c>
      <c r="F104" s="286">
        <v>0</v>
      </c>
      <c r="G104" s="267">
        <v>0</v>
      </c>
    </row>
    <row r="105" spans="1:7" s="260" customFormat="1" ht="63.75">
      <c r="A105" s="381" t="s">
        <v>332</v>
      </c>
      <c r="B105" s="372"/>
      <c r="C105" s="382" t="s">
        <v>333</v>
      </c>
      <c r="D105" s="306">
        <v>0</v>
      </c>
      <c r="E105" s="304">
        <v>0</v>
      </c>
      <c r="F105" s="307">
        <v>0</v>
      </c>
      <c r="G105" s="486">
        <v>0</v>
      </c>
    </row>
    <row r="106" spans="1:7" ht="12.75">
      <c r="A106" s="374">
        <v>6</v>
      </c>
      <c r="B106" s="375"/>
      <c r="C106" s="375" t="s">
        <v>334</v>
      </c>
      <c r="D106" s="376">
        <f>SUM(D96:D105)</f>
        <v>61296.600000000006</v>
      </c>
      <c r="E106" s="376">
        <f>SUM(E96:E105)</f>
        <v>12121</v>
      </c>
      <c r="F106" s="376">
        <f>SUM(F96:F105)</f>
        <v>11788.800000000001</v>
      </c>
      <c r="G106" s="376">
        <f>SUM(G96:G105)</f>
        <v>14423</v>
      </c>
    </row>
    <row r="107" spans="1:7" ht="12.75">
      <c r="A107" s="386" t="s">
        <v>335</v>
      </c>
      <c r="B107" s="386"/>
      <c r="C107" s="375" t="s">
        <v>3</v>
      </c>
      <c r="D107" s="376">
        <f>(D95-D88)-(D106-D103)</f>
        <v>38438.899999999994</v>
      </c>
      <c r="E107" s="376">
        <f>(E95-E88)-(E106-E103)</f>
        <v>28440</v>
      </c>
      <c r="F107" s="376">
        <f>(F95-F88)-(F106-F103)</f>
        <v>22324.199999999997</v>
      </c>
      <c r="G107" s="376">
        <f>(G95-G88)-(G106-G103)</f>
        <v>24726</v>
      </c>
    </row>
    <row r="108" spans="1:7" ht="12.75">
      <c r="A108" s="387" t="s">
        <v>336</v>
      </c>
      <c r="B108" s="387"/>
      <c r="C108" s="388" t="s">
        <v>337</v>
      </c>
      <c r="D108" s="389">
        <f>ROUND(D107-D85-D86+D100+D101,0)</f>
        <v>-5196</v>
      </c>
      <c r="E108" s="389">
        <f>ROUND(E107-E85-E86+E100+E101,0)</f>
        <v>27972</v>
      </c>
      <c r="F108" s="389">
        <f>ROUND(F107-F85-F86+F100+F101,0)</f>
        <v>22129</v>
      </c>
      <c r="G108" s="389">
        <f>ROUND(G107-G85-G86+G100+G101,0)</f>
        <v>24202</v>
      </c>
    </row>
    <row r="109" spans="1:7" ht="12.75">
      <c r="A109" s="362"/>
      <c r="B109" s="362"/>
      <c r="C109" s="363"/>
      <c r="D109" s="364"/>
      <c r="E109" s="364"/>
      <c r="F109" s="364"/>
      <c r="G109" s="364"/>
    </row>
    <row r="110" spans="1:7" s="250" customFormat="1" ht="12.75">
      <c r="A110" s="390" t="s">
        <v>338</v>
      </c>
      <c r="B110" s="391"/>
      <c r="C110" s="390"/>
      <c r="D110" s="364"/>
      <c r="E110" s="364"/>
      <c r="F110" s="364"/>
      <c r="G110" s="364"/>
    </row>
    <row r="111" spans="1:7" s="396" customFormat="1" ht="12.75">
      <c r="A111" s="392">
        <v>10</v>
      </c>
      <c r="B111" s="393"/>
      <c r="C111" s="393" t="s">
        <v>339</v>
      </c>
      <c r="D111" s="394">
        <f>D112+D117</f>
        <v>254641</v>
      </c>
      <c r="E111" s="394">
        <f>E112+E117</f>
        <v>0</v>
      </c>
      <c r="F111" s="394">
        <f>F112+F117</f>
        <v>239905</v>
      </c>
      <c r="G111" s="395">
        <f>G112+G117</f>
        <v>0</v>
      </c>
    </row>
    <row r="112" spans="1:7" s="396" customFormat="1" ht="12.75">
      <c r="A112" s="397" t="s">
        <v>340</v>
      </c>
      <c r="B112" s="398"/>
      <c r="C112" s="398" t="s">
        <v>341</v>
      </c>
      <c r="D112" s="394">
        <f>D113+D114+D115+D116</f>
        <v>202133</v>
      </c>
      <c r="E112" s="394">
        <f>E113+E114+E115+E116</f>
        <v>0</v>
      </c>
      <c r="F112" s="394">
        <f>F113+F114+F115+F116</f>
        <v>167587</v>
      </c>
      <c r="G112" s="395">
        <f>G113+G114+G115+G116</f>
        <v>0</v>
      </c>
    </row>
    <row r="113" spans="1:7" s="396" customFormat="1" ht="12.75">
      <c r="A113" s="410" t="s">
        <v>342</v>
      </c>
      <c r="B113" s="411"/>
      <c r="C113" s="411" t="s">
        <v>343</v>
      </c>
      <c r="D113" s="275">
        <v>153647</v>
      </c>
      <c r="E113" s="275"/>
      <c r="F113" s="275">
        <f>81166+65913</f>
        <v>147079</v>
      </c>
      <c r="G113" s="277"/>
    </row>
    <row r="114" spans="1:7" s="406" customFormat="1" ht="15" customHeight="1">
      <c r="A114" s="414">
        <v>102</v>
      </c>
      <c r="B114" s="494"/>
      <c r="C114" s="494" t="s">
        <v>344</v>
      </c>
      <c r="D114" s="344">
        <v>31185</v>
      </c>
      <c r="E114" s="344"/>
      <c r="F114" s="344">
        <v>11000</v>
      </c>
      <c r="G114" s="495"/>
    </row>
    <row r="115" spans="1:7" s="396" customFormat="1" ht="12.75">
      <c r="A115" s="410">
        <v>104</v>
      </c>
      <c r="B115" s="411"/>
      <c r="C115" s="411" t="s">
        <v>345</v>
      </c>
      <c r="D115" s="275">
        <v>17167</v>
      </c>
      <c r="E115" s="275"/>
      <c r="F115" s="275">
        <v>9383</v>
      </c>
      <c r="G115" s="277"/>
    </row>
    <row r="116" spans="1:7" s="396" customFormat="1" ht="12.75">
      <c r="A116" s="410">
        <v>106</v>
      </c>
      <c r="B116" s="411"/>
      <c r="C116" s="411" t="s">
        <v>346</v>
      </c>
      <c r="D116" s="275">
        <v>134</v>
      </c>
      <c r="E116" s="275"/>
      <c r="F116" s="275">
        <v>125</v>
      </c>
      <c r="G116" s="277"/>
    </row>
    <row r="117" spans="1:7" s="396" customFormat="1" ht="12.75">
      <c r="A117" s="397" t="s">
        <v>347</v>
      </c>
      <c r="B117" s="398"/>
      <c r="C117" s="398" t="s">
        <v>348</v>
      </c>
      <c r="D117" s="394">
        <f>D118+D119+D120</f>
        <v>52508</v>
      </c>
      <c r="E117" s="394">
        <f>E118+E119+E120</f>
        <v>0</v>
      </c>
      <c r="F117" s="394">
        <f>F118+F119+F120</f>
        <v>72318</v>
      </c>
      <c r="G117" s="395">
        <f>G118+G119+G120</f>
        <v>0</v>
      </c>
    </row>
    <row r="118" spans="1:7" s="396" customFormat="1" ht="12.75">
      <c r="A118" s="410">
        <v>107</v>
      </c>
      <c r="B118" s="411"/>
      <c r="C118" s="411" t="s">
        <v>349</v>
      </c>
      <c r="D118" s="275">
        <v>48115</v>
      </c>
      <c r="E118" s="275"/>
      <c r="F118" s="275">
        <v>67925</v>
      </c>
      <c r="G118" s="277"/>
    </row>
    <row r="119" spans="1:7" s="396" customFormat="1" ht="12.75">
      <c r="A119" s="410">
        <v>108</v>
      </c>
      <c r="B119" s="411"/>
      <c r="C119" s="411" t="s">
        <v>350</v>
      </c>
      <c r="D119" s="275">
        <v>4393</v>
      </c>
      <c r="E119" s="275"/>
      <c r="F119" s="275">
        <v>4393</v>
      </c>
      <c r="G119" s="277"/>
    </row>
    <row r="120" spans="1:7" s="409" customFormat="1" ht="25.5">
      <c r="A120" s="414">
        <v>109</v>
      </c>
      <c r="B120" s="415"/>
      <c r="C120" s="415" t="s">
        <v>351</v>
      </c>
      <c r="D120" s="281">
        <v>0</v>
      </c>
      <c r="E120" s="281"/>
      <c r="F120" s="281">
        <v>0</v>
      </c>
      <c r="G120" s="496"/>
    </row>
    <row r="121" spans="1:7" s="396" customFormat="1" ht="12.75">
      <c r="A121" s="397">
        <v>14</v>
      </c>
      <c r="B121" s="398"/>
      <c r="C121" s="398" t="s">
        <v>352</v>
      </c>
      <c r="D121" s="394">
        <f>SUM(D122:D130)</f>
        <v>142056</v>
      </c>
      <c r="E121" s="394">
        <f>SUM(E122:E130)</f>
        <v>0</v>
      </c>
      <c r="F121" s="394">
        <f>SUM(F122:F130)</f>
        <v>146024</v>
      </c>
      <c r="G121" s="394">
        <f>SUM(G122:G130)</f>
        <v>0</v>
      </c>
    </row>
    <row r="122" spans="1:7" s="396" customFormat="1" ht="12.75">
      <c r="A122" s="410" t="s">
        <v>353</v>
      </c>
      <c r="B122" s="411"/>
      <c r="C122" s="411" t="s">
        <v>354</v>
      </c>
      <c r="D122" s="275">
        <v>97916</v>
      </c>
      <c r="E122" s="275"/>
      <c r="F122" s="275">
        <v>103154</v>
      </c>
      <c r="G122" s="277"/>
    </row>
    <row r="123" spans="1:7" s="396" customFormat="1" ht="12.75">
      <c r="A123" s="410">
        <v>144</v>
      </c>
      <c r="B123" s="411"/>
      <c r="C123" s="411" t="s">
        <v>312</v>
      </c>
      <c r="D123" s="275">
        <v>23002</v>
      </c>
      <c r="E123" s="275"/>
      <c r="F123" s="275">
        <v>23182</v>
      </c>
      <c r="G123" s="277"/>
    </row>
    <row r="124" spans="1:7" s="396" customFormat="1" ht="12.75">
      <c r="A124" s="410">
        <v>145</v>
      </c>
      <c r="B124" s="411"/>
      <c r="C124" s="411" t="s">
        <v>355</v>
      </c>
      <c r="D124" s="275">
        <v>118713</v>
      </c>
      <c r="E124" s="412"/>
      <c r="F124" s="275">
        <v>118713</v>
      </c>
      <c r="G124" s="413"/>
    </row>
    <row r="125" spans="1:7" s="396" customFormat="1" ht="12.75">
      <c r="A125" s="410">
        <v>146</v>
      </c>
      <c r="B125" s="411"/>
      <c r="C125" s="411" t="s">
        <v>356</v>
      </c>
      <c r="D125" s="275">
        <v>102179</v>
      </c>
      <c r="E125" s="412"/>
      <c r="F125" s="275">
        <v>100910</v>
      </c>
      <c r="G125" s="413"/>
    </row>
    <row r="126" spans="1:7" s="409" customFormat="1" ht="29.25" customHeight="1">
      <c r="A126" s="414" t="s">
        <v>357</v>
      </c>
      <c r="B126" s="415"/>
      <c r="C126" s="415" t="s">
        <v>358</v>
      </c>
      <c r="D126" s="281">
        <v>-199754</v>
      </c>
      <c r="E126" s="416"/>
      <c r="F126" s="281">
        <v>-199935</v>
      </c>
      <c r="G126" s="417"/>
    </row>
    <row r="127" spans="1:7" s="396" customFormat="1" ht="12.75">
      <c r="A127" s="410">
        <v>1484</v>
      </c>
      <c r="B127" s="411"/>
      <c r="C127" s="411" t="s">
        <v>359</v>
      </c>
      <c r="D127" s="275">
        <v>0</v>
      </c>
      <c r="E127" s="412"/>
      <c r="F127" s="275">
        <v>0</v>
      </c>
      <c r="G127" s="413"/>
    </row>
    <row r="128" spans="1:7" s="396" customFormat="1" ht="12.75">
      <c r="A128" s="410">
        <v>1485</v>
      </c>
      <c r="B128" s="411"/>
      <c r="C128" s="411" t="s">
        <v>360</v>
      </c>
      <c r="D128" s="275">
        <v>0</v>
      </c>
      <c r="E128" s="412"/>
      <c r="F128" s="275">
        <v>0</v>
      </c>
      <c r="G128" s="413"/>
    </row>
    <row r="129" spans="1:7" s="396" customFormat="1" ht="12.75">
      <c r="A129" s="410">
        <v>1486</v>
      </c>
      <c r="B129" s="411"/>
      <c r="C129" s="411" t="s">
        <v>361</v>
      </c>
      <c r="D129" s="275">
        <v>0</v>
      </c>
      <c r="E129" s="412"/>
      <c r="F129" s="275">
        <v>0</v>
      </c>
      <c r="G129" s="413"/>
    </row>
    <row r="130" spans="1:7" s="396" customFormat="1" ht="12.75">
      <c r="A130" s="418">
        <v>1489</v>
      </c>
      <c r="B130" s="419"/>
      <c r="C130" s="419" t="s">
        <v>362</v>
      </c>
      <c r="D130" s="306">
        <v>0</v>
      </c>
      <c r="E130" s="420"/>
      <c r="F130" s="306">
        <v>0</v>
      </c>
      <c r="G130" s="421"/>
    </row>
    <row r="131" spans="1:7" s="250" customFormat="1" ht="12.75">
      <c r="A131" s="422">
        <v>1</v>
      </c>
      <c r="B131" s="423"/>
      <c r="C131" s="422" t="s">
        <v>363</v>
      </c>
      <c r="D131" s="424">
        <f>D111+D121</f>
        <v>396697</v>
      </c>
      <c r="E131" s="424">
        <f>E111+E121</f>
        <v>0</v>
      </c>
      <c r="F131" s="424">
        <f>F111+F121</f>
        <v>385929</v>
      </c>
      <c r="G131" s="424">
        <f>G111+G121</f>
        <v>0</v>
      </c>
    </row>
    <row r="132" spans="1:7" s="250" customFormat="1" ht="12.75">
      <c r="A132" s="362"/>
      <c r="B132" s="362"/>
      <c r="C132" s="363"/>
      <c r="D132" s="364"/>
      <c r="E132" s="364"/>
      <c r="F132" s="364"/>
      <c r="G132" s="364"/>
    </row>
    <row r="133" spans="1:7" s="396" customFormat="1" ht="12.75">
      <c r="A133" s="392">
        <v>20</v>
      </c>
      <c r="B133" s="393"/>
      <c r="C133" s="393" t="s">
        <v>364</v>
      </c>
      <c r="D133" s="425">
        <f>D134+D140</f>
        <v>266323</v>
      </c>
      <c r="E133" s="425">
        <f>E134+E140</f>
        <v>0</v>
      </c>
      <c r="F133" s="425">
        <f>F134+F140</f>
        <v>268300</v>
      </c>
      <c r="G133" s="426">
        <f>G134+G140</f>
        <v>0</v>
      </c>
    </row>
    <row r="134" spans="1:7" s="396" customFormat="1" ht="12.75">
      <c r="A134" s="427" t="s">
        <v>365</v>
      </c>
      <c r="B134" s="398"/>
      <c r="C134" s="398" t="s">
        <v>366</v>
      </c>
      <c r="D134" s="394">
        <f>D135+D136+D138+D139</f>
        <v>131961</v>
      </c>
      <c r="E134" s="394">
        <f>E135+E136+E138+E139</f>
        <v>0</v>
      </c>
      <c r="F134" s="394">
        <f>F135+F136+F138+F139</f>
        <v>109556</v>
      </c>
      <c r="G134" s="395">
        <f>G135+G136+G138+G139</f>
        <v>0</v>
      </c>
    </row>
    <row r="135" spans="1:7" s="429" customFormat="1" ht="12.75">
      <c r="A135" s="428">
        <v>200</v>
      </c>
      <c r="B135" s="411"/>
      <c r="C135" s="411" t="s">
        <v>367</v>
      </c>
      <c r="D135" s="275">
        <v>98265</v>
      </c>
      <c r="E135" s="275"/>
      <c r="F135" s="275">
        <v>93617</v>
      </c>
      <c r="G135" s="277"/>
    </row>
    <row r="136" spans="1:7" s="429" customFormat="1" ht="12.75">
      <c r="A136" s="428">
        <v>201</v>
      </c>
      <c r="B136" s="411"/>
      <c r="C136" s="411" t="s">
        <v>368</v>
      </c>
      <c r="D136" s="275">
        <v>23000</v>
      </c>
      <c r="E136" s="275"/>
      <c r="F136" s="275">
        <v>5000</v>
      </c>
      <c r="G136" s="277"/>
    </row>
    <row r="137" spans="1:7" s="429" customFormat="1" ht="12.75">
      <c r="A137" s="430" t="s">
        <v>369</v>
      </c>
      <c r="B137" s="400"/>
      <c r="C137" s="400" t="s">
        <v>370</v>
      </c>
      <c r="D137" s="271">
        <v>0</v>
      </c>
      <c r="E137" s="431"/>
      <c r="F137" s="271">
        <v>0</v>
      </c>
      <c r="G137" s="432"/>
    </row>
    <row r="138" spans="1:7" s="429" customFormat="1" ht="12.75">
      <c r="A138" s="430">
        <v>204</v>
      </c>
      <c r="B138" s="400"/>
      <c r="C138" s="400" t="s">
        <v>371</v>
      </c>
      <c r="D138" s="271">
        <v>10106</v>
      </c>
      <c r="E138" s="431"/>
      <c r="F138" s="271">
        <v>10209</v>
      </c>
      <c r="G138" s="432"/>
    </row>
    <row r="139" spans="1:7" s="429" customFormat="1" ht="12.75">
      <c r="A139" s="430">
        <v>205</v>
      </c>
      <c r="B139" s="400"/>
      <c r="C139" s="400" t="s">
        <v>372</v>
      </c>
      <c r="D139" s="271">
        <v>590</v>
      </c>
      <c r="E139" s="431"/>
      <c r="F139" s="271">
        <v>730</v>
      </c>
      <c r="G139" s="432"/>
    </row>
    <row r="140" spans="1:7" s="429" customFormat="1" ht="12.75">
      <c r="A140" s="427" t="s">
        <v>373</v>
      </c>
      <c r="B140" s="398"/>
      <c r="C140" s="398" t="s">
        <v>374</v>
      </c>
      <c r="D140" s="394">
        <f>D141+D143+D144</f>
        <v>134362</v>
      </c>
      <c r="E140" s="394">
        <f>E141+E143+E144</f>
        <v>0</v>
      </c>
      <c r="F140" s="394">
        <f>F141+F143+F144</f>
        <v>158744</v>
      </c>
      <c r="G140" s="395">
        <f>G141+G143+G144</f>
        <v>0</v>
      </c>
    </row>
    <row r="141" spans="1:7" s="429" customFormat="1" ht="12.75">
      <c r="A141" s="428">
        <v>206</v>
      </c>
      <c r="B141" s="411"/>
      <c r="C141" s="411" t="s">
        <v>375</v>
      </c>
      <c r="D141" s="275">
        <v>119328</v>
      </c>
      <c r="E141" s="412"/>
      <c r="F141" s="275">
        <v>144029</v>
      </c>
      <c r="G141" s="413"/>
    </row>
    <row r="142" spans="1:7" s="429" customFormat="1" ht="12.75">
      <c r="A142" s="430" t="s">
        <v>376</v>
      </c>
      <c r="B142" s="400"/>
      <c r="C142" s="400" t="s">
        <v>377</v>
      </c>
      <c r="D142" s="271">
        <v>0</v>
      </c>
      <c r="E142" s="431"/>
      <c r="F142" s="271">
        <v>0</v>
      </c>
      <c r="G142" s="432"/>
    </row>
    <row r="143" spans="1:7" s="429" customFormat="1" ht="12.75">
      <c r="A143" s="428">
        <v>208</v>
      </c>
      <c r="B143" s="411"/>
      <c r="C143" s="411" t="s">
        <v>378</v>
      </c>
      <c r="D143" s="275">
        <v>14010</v>
      </c>
      <c r="E143" s="412"/>
      <c r="F143" s="275">
        <v>13520</v>
      </c>
      <c r="G143" s="413"/>
    </row>
    <row r="144" spans="1:7" s="433" customFormat="1" ht="25.5">
      <c r="A144" s="414">
        <v>209</v>
      </c>
      <c r="B144" s="415"/>
      <c r="C144" s="415" t="s">
        <v>379</v>
      </c>
      <c r="D144" s="281">
        <v>1024</v>
      </c>
      <c r="E144" s="416"/>
      <c r="F144" s="281">
        <v>1195</v>
      </c>
      <c r="G144" s="417"/>
    </row>
    <row r="145" spans="1:7" s="396" customFormat="1" ht="12.75">
      <c r="A145" s="427">
        <v>29</v>
      </c>
      <c r="B145" s="398"/>
      <c r="C145" s="398" t="s">
        <v>380</v>
      </c>
      <c r="D145" s="412">
        <v>130374</v>
      </c>
      <c r="E145" s="412"/>
      <c r="F145" s="412">
        <v>117629</v>
      </c>
      <c r="G145" s="413"/>
    </row>
    <row r="146" spans="1:7" s="396" customFormat="1" ht="12.75">
      <c r="A146" s="434" t="s">
        <v>381</v>
      </c>
      <c r="B146" s="435"/>
      <c r="C146" s="435" t="s">
        <v>382</v>
      </c>
      <c r="D146" s="332">
        <v>58788</v>
      </c>
      <c r="E146" s="332"/>
      <c r="F146" s="332">
        <v>58951</v>
      </c>
      <c r="G146" s="436"/>
    </row>
    <row r="147" spans="1:7" s="250" customFormat="1" ht="12.75">
      <c r="A147" s="422">
        <v>2</v>
      </c>
      <c r="B147" s="423"/>
      <c r="C147" s="422" t="s">
        <v>383</v>
      </c>
      <c r="D147" s="424">
        <f>D133+D145</f>
        <v>396697</v>
      </c>
      <c r="E147" s="424">
        <f>E133+E145</f>
        <v>0</v>
      </c>
      <c r="F147" s="424">
        <f>F133+F145</f>
        <v>385929</v>
      </c>
      <c r="G147" s="424">
        <f>G133+G145</f>
        <v>0</v>
      </c>
    </row>
    <row r="148" ht="7.5" customHeight="1">
      <c r="F148" s="250"/>
    </row>
    <row r="149" spans="1:7" ht="13.5" customHeight="1">
      <c r="A149" s="437" t="s">
        <v>384</v>
      </c>
      <c r="B149" s="438"/>
      <c r="C149" s="439" t="s">
        <v>385</v>
      </c>
      <c r="D149" s="438"/>
      <c r="E149" s="438"/>
      <c r="F149" s="438"/>
      <c r="G149" s="438"/>
    </row>
    <row r="150" spans="1:7" ht="12.75">
      <c r="A150" s="440" t="s">
        <v>386</v>
      </c>
      <c r="B150" s="441"/>
      <c r="C150" s="441" t="s">
        <v>97</v>
      </c>
      <c r="D150" s="442">
        <f>D77+SUM(D8:D12)-D30-D31+D16-D33+D59+D63-D73+D64-D74-D54+D20-D35</f>
        <v>22854.720000000005</v>
      </c>
      <c r="E150" s="442">
        <f>E77+SUM(E8:E12)-E30-E31+E16-E33+E59+E63-E73+E64-E74-E54+E20-E35</f>
        <v>13024.499999999964</v>
      </c>
      <c r="F150" s="442">
        <f>F77+SUM(F8:F12)-F30-F31+F16-F33+F59+F63-F73+F64-F74-F54+F20-F35</f>
        <v>14068.700000000044</v>
      </c>
      <c r="G150" s="442">
        <f>G77+SUM(G8:G12)-G30-G31+G16-G33+G59+G63-G73+G64-G74-G54+G20-G35</f>
        <v>15094.499999999949</v>
      </c>
    </row>
    <row r="151" spans="1:7" ht="12.75">
      <c r="A151" s="443" t="s">
        <v>387</v>
      </c>
      <c r="B151" s="444"/>
      <c r="C151" s="444" t="s">
        <v>388</v>
      </c>
      <c r="D151" s="445">
        <f>IF(D177=0,0,D150/D177)</f>
        <v>0.07540972680260492</v>
      </c>
      <c r="E151" s="445">
        <f>IF(E177=0,0,E150/E177)</f>
        <v>0.04367269803352973</v>
      </c>
      <c r="F151" s="445">
        <f>IF(F177=0,0,F150/F177)</f>
        <v>0.047054483390523726</v>
      </c>
      <c r="G151" s="445">
        <f>IF(G177=0,0,G150/G177)</f>
        <v>0.049782723124354236</v>
      </c>
    </row>
    <row r="152" spans="1:7" s="328" customFormat="1" ht="25.5">
      <c r="A152" s="502" t="s">
        <v>389</v>
      </c>
      <c r="B152" s="503"/>
      <c r="C152" s="503" t="s">
        <v>390</v>
      </c>
      <c r="D152" s="594">
        <f>IF(IF(D107=0,0,D$150/D107)&lt;0,"negativ",(IF(D107=0,0,D$150/D107)))</f>
        <v>0.5945726854826753</v>
      </c>
      <c r="E152" s="594">
        <f>IF(IF(E107=0,0,E$150/E107)&lt;0,"negativ",(IF(E107=0,0,E$150/E107)))</f>
        <v>0.4579641350210958</v>
      </c>
      <c r="F152" s="594">
        <f>IF(IF(F107=0,0,F$150/F107)&lt;0,"negativ",(IF(F107=0,0,F$150/F107)))</f>
        <v>0.6301995144282907</v>
      </c>
      <c r="G152" s="594">
        <f>IF(IF(G107=0,0,G$150/G107)&lt;0,"negativ",(IF(G107=0,0,G$150/G107)))</f>
        <v>0.6104707595243852</v>
      </c>
    </row>
    <row r="153" spans="1:7" s="328" customFormat="1" ht="25.5">
      <c r="A153" s="505" t="s">
        <v>389</v>
      </c>
      <c r="B153" s="506"/>
      <c r="C153" s="506" t="s">
        <v>391</v>
      </c>
      <c r="D153" s="593" t="str">
        <f>IF(IF(D108=0,0,D$150/D108)&lt;0,"negativ",(IF(D108=0,0,D$150/D108)))</f>
        <v>negativ</v>
      </c>
      <c r="E153" s="593">
        <f>IF(IF(E108=0,0,E$150/E108)&lt;0,"negativ",(IF(E108=0,0,E$150/E108)))</f>
        <v>0.46562634062633934</v>
      </c>
      <c r="F153" s="593">
        <f>IF(IF(F108=0,0,F$150/F108)&lt;0,"negativ",(IF(F108=0,0,F$150/F108)))</f>
        <v>0.6357585069366011</v>
      </c>
      <c r="G153" s="593">
        <f>IF(IF(G108=0,0,G$150/G108)&lt;0,"negativ",(IF(G108=0,0,G$150/G108)))</f>
        <v>0.6236881249483492</v>
      </c>
    </row>
    <row r="154" spans="1:7" ht="25.5">
      <c r="A154" s="453" t="s">
        <v>392</v>
      </c>
      <c r="B154" s="454"/>
      <c r="C154" s="454" t="s">
        <v>393</v>
      </c>
      <c r="D154" s="455">
        <f>D150-D107</f>
        <v>-15584.17999999999</v>
      </c>
      <c r="E154" s="455">
        <f>E150-E107</f>
        <v>-15415.500000000036</v>
      </c>
      <c r="F154" s="455">
        <f>F150-F107</f>
        <v>-8255.499999999953</v>
      </c>
      <c r="G154" s="455">
        <f>G150-G107</f>
        <v>-9631.500000000051</v>
      </c>
    </row>
    <row r="155" spans="1:7" ht="25.5">
      <c r="A155" s="450" t="s">
        <v>394</v>
      </c>
      <c r="B155" s="451"/>
      <c r="C155" s="451" t="s">
        <v>395</v>
      </c>
      <c r="D155" s="456">
        <f>D150-D108</f>
        <v>28050.720000000005</v>
      </c>
      <c r="E155" s="456">
        <f>E150-E108</f>
        <v>-14947.500000000036</v>
      </c>
      <c r="F155" s="456">
        <f>F150-F108</f>
        <v>-8060.299999999956</v>
      </c>
      <c r="G155" s="456">
        <f>G150-G108</f>
        <v>-9107.500000000051</v>
      </c>
    </row>
    <row r="156" spans="1:7" ht="12.75">
      <c r="A156" s="440" t="s">
        <v>396</v>
      </c>
      <c r="B156" s="441"/>
      <c r="C156" s="441" t="s">
        <v>397</v>
      </c>
      <c r="D156" s="457">
        <f>D135+D136-D137+D141-D142</f>
        <v>240593</v>
      </c>
      <c r="E156" s="457">
        <f>E135+E136-E137+E141-E142</f>
        <v>0</v>
      </c>
      <c r="F156" s="457">
        <f>F135+F136-F137+F141-F142</f>
        <v>242646</v>
      </c>
      <c r="G156" s="457">
        <f>G135+G136-G137+G141-G142</f>
        <v>0</v>
      </c>
    </row>
    <row r="157" spans="1:7" ht="12.75">
      <c r="A157" s="458" t="s">
        <v>398</v>
      </c>
      <c r="B157" s="459"/>
      <c r="C157" s="459" t="s">
        <v>399</v>
      </c>
      <c r="D157" s="460">
        <f>IF(D177=0,0,D156/D177)</f>
        <v>0.7938426898522108</v>
      </c>
      <c r="E157" s="460">
        <f>IF(E177=0,0,E156/E177)</f>
        <v>0</v>
      </c>
      <c r="F157" s="460">
        <f>IF(F177=0,0,F156/F177)</f>
        <v>0.8115591473822731</v>
      </c>
      <c r="G157" s="460">
        <f>IF(G177=0,0,G156/G177)</f>
        <v>0</v>
      </c>
    </row>
    <row r="158" spans="1:7" ht="12.75">
      <c r="A158" s="440" t="s">
        <v>400</v>
      </c>
      <c r="B158" s="441"/>
      <c r="C158" s="441" t="s">
        <v>401</v>
      </c>
      <c r="D158" s="457">
        <f>D133-D142-D111</f>
        <v>11682</v>
      </c>
      <c r="E158" s="457">
        <f>E133-E142-E111</f>
        <v>0</v>
      </c>
      <c r="F158" s="457">
        <f>F133-F142-F111</f>
        <v>28395</v>
      </c>
      <c r="G158" s="457">
        <f>G133-G142-G111</f>
        <v>0</v>
      </c>
    </row>
    <row r="159" spans="1:7" ht="12.75">
      <c r="A159" s="443" t="s">
        <v>402</v>
      </c>
      <c r="B159" s="444"/>
      <c r="C159" s="444" t="s">
        <v>403</v>
      </c>
      <c r="D159" s="461">
        <f>D121-D123-D124-D142-D145</f>
        <v>-130033</v>
      </c>
      <c r="E159" s="461">
        <f>E121-E123-E124-E142-E145</f>
        <v>0</v>
      </c>
      <c r="F159" s="461">
        <f>F121-F123-F124-F142-F145</f>
        <v>-113500</v>
      </c>
      <c r="G159" s="461">
        <f>G121-G123-G124-G142-G145</f>
        <v>0</v>
      </c>
    </row>
    <row r="160" spans="1:7" ht="12.75">
      <c r="A160" s="443" t="s">
        <v>404</v>
      </c>
      <c r="B160" s="444"/>
      <c r="C160" s="444" t="s">
        <v>405</v>
      </c>
      <c r="D160" s="462">
        <f>IF(D175=0,"-",1000*D158/D175)</f>
        <v>283.2549342902866</v>
      </c>
      <c r="E160" s="462">
        <f>IF(E175=0,"-",1000*E158/E175)</f>
        <v>0</v>
      </c>
      <c r="F160" s="462">
        <f>IF(F175=0,"-",1000*F158/F175)</f>
        <v>683.3606083943012</v>
      </c>
      <c r="G160" s="462">
        <f>IF(G175=0,"-",1000*G158/G175)</f>
        <v>0</v>
      </c>
    </row>
    <row r="161" spans="1:7" ht="12.75">
      <c r="A161" s="443" t="s">
        <v>404</v>
      </c>
      <c r="B161" s="444"/>
      <c r="C161" s="444" t="s">
        <v>406</v>
      </c>
      <c r="D161" s="461">
        <f>IF(D175=0,0,1000*(D159/D175))</f>
        <v>-3152.926628194559</v>
      </c>
      <c r="E161" s="461">
        <f>IF(E175=0,0,1000*(E159/E175))</f>
        <v>0</v>
      </c>
      <c r="F161" s="461">
        <f>IF(F175=0,0,1000*(F159/F175))</f>
        <v>-2731.5171351559493</v>
      </c>
      <c r="G161" s="461">
        <f>IF(G175=0,0,1000*(G159/G175))</f>
        <v>0</v>
      </c>
    </row>
    <row r="162" spans="1:7" ht="12.75">
      <c r="A162" s="458" t="s">
        <v>407</v>
      </c>
      <c r="B162" s="459"/>
      <c r="C162" s="459" t="s">
        <v>408</v>
      </c>
      <c r="D162" s="460">
        <f>IF((D22+D23+D65+D66)=0,0,D158/(D22+D23+D65+D66))</f>
        <v>0.07287931305539126</v>
      </c>
      <c r="E162" s="460">
        <f>IF((E22+E23+E65+E66)=0,0,E158/(E22+E23+E65+E66))</f>
        <v>0</v>
      </c>
      <c r="F162" s="460">
        <f>IF((F22+F23+F65+F66)=0,0,F158/(F22+F23+F65+F66))</f>
        <v>0.17241881833450526</v>
      </c>
      <c r="G162" s="460">
        <f>IF((G22+G23+G65+G66)=0,0,G158/(G22+G23+G65+G66))</f>
        <v>0</v>
      </c>
    </row>
    <row r="163" spans="1:7" ht="12.75">
      <c r="A163" s="443" t="s">
        <v>409</v>
      </c>
      <c r="B163" s="444"/>
      <c r="C163" s="444" t="s">
        <v>380</v>
      </c>
      <c r="D163" s="442">
        <f>D145</f>
        <v>130374</v>
      </c>
      <c r="E163" s="442">
        <f>E145</f>
        <v>0</v>
      </c>
      <c r="F163" s="442">
        <f>F145</f>
        <v>117629</v>
      </c>
      <c r="G163" s="442">
        <f>G145</f>
        <v>0</v>
      </c>
    </row>
    <row r="164" spans="1:7" ht="25.5">
      <c r="A164" s="450" t="s">
        <v>411</v>
      </c>
      <c r="B164" s="463"/>
      <c r="C164" s="463" t="s">
        <v>412</v>
      </c>
      <c r="D164" s="452">
        <f>IF(D178=0,0,D146/D178)</f>
        <v>0.1914812222969376</v>
      </c>
      <c r="E164" s="452">
        <f>IF(E178=0,0,E146/E178)</f>
        <v>0</v>
      </c>
      <c r="F164" s="452">
        <f>IF(F178=0,0,F146/F178)</f>
        <v>0.19377727463378522</v>
      </c>
      <c r="G164" s="452">
        <f>IF(G178=0,0,G146/G178)</f>
        <v>0</v>
      </c>
    </row>
    <row r="165" spans="1:7" ht="12.75">
      <c r="A165" s="464" t="s">
        <v>681</v>
      </c>
      <c r="B165" s="464"/>
      <c r="C165" s="464" t="s">
        <v>414</v>
      </c>
      <c r="D165" s="465">
        <f>IF(D177=0,0,D180/D177)</f>
        <v>0.08979493120324779</v>
      </c>
      <c r="E165" s="465">
        <f>IF(E177=0,0,E180/E177)</f>
        <v>0.06511019354873322</v>
      </c>
      <c r="F165" s="465">
        <f>IF(F177=0,0,F180/F177)</f>
        <v>0.06381037063595812</v>
      </c>
      <c r="G165" s="465">
        <f>IF(G177=0,0,G180/G177)</f>
        <v>0.06441032480716183</v>
      </c>
    </row>
    <row r="166" spans="1:7" ht="12.75">
      <c r="A166" s="443" t="s">
        <v>415</v>
      </c>
      <c r="B166" s="444"/>
      <c r="C166" s="444" t="s">
        <v>282</v>
      </c>
      <c r="D166" s="442">
        <f>D55</f>
        <v>19485.22</v>
      </c>
      <c r="E166" s="442">
        <f>E55</f>
        <v>14471</v>
      </c>
      <c r="F166" s="442">
        <f>F55</f>
        <v>14316.499999999998</v>
      </c>
      <c r="G166" s="442">
        <f>G55</f>
        <v>14442.599999999999</v>
      </c>
    </row>
    <row r="167" spans="1:7" ht="12.75">
      <c r="A167" s="458" t="s">
        <v>416</v>
      </c>
      <c r="B167" s="459"/>
      <c r="C167" s="459" t="s">
        <v>417</v>
      </c>
      <c r="D167" s="460">
        <f>IF(0=D111,0,(D44+D45+D46+D47+D48)/D111)</f>
        <v>0.012234479129441055</v>
      </c>
      <c r="E167" s="460">
        <f>IF(0=E111,0,(E44+E45+E46+E47+E48)/E111)</f>
        <v>0</v>
      </c>
      <c r="F167" s="460">
        <f>IF(0=F111,0,(F44+F45+F46+F47+F48)/F111)</f>
        <v>0.010596277693253579</v>
      </c>
      <c r="G167" s="460">
        <f>IF(0=G111,0,(G44+G45+G46+G47+G48)/G111)</f>
        <v>0</v>
      </c>
    </row>
    <row r="168" spans="1:7" ht="12.75">
      <c r="A168" s="443" t="s">
        <v>418</v>
      </c>
      <c r="B168" s="441"/>
      <c r="C168" s="441" t="s">
        <v>419</v>
      </c>
      <c r="D168" s="442">
        <f>D38-D44</f>
        <v>986.1000000000004</v>
      </c>
      <c r="E168" s="442">
        <f>E38-E44</f>
        <v>541.8000000000002</v>
      </c>
      <c r="F168" s="442">
        <f>F38-F44</f>
        <v>844.0999999999999</v>
      </c>
      <c r="G168" s="442">
        <f>G38-G44</f>
        <v>645.6999999999998</v>
      </c>
    </row>
    <row r="169" spans="1:7" ht="12.75">
      <c r="A169" s="458" t="s">
        <v>420</v>
      </c>
      <c r="B169" s="459"/>
      <c r="C169" s="459" t="s">
        <v>421</v>
      </c>
      <c r="D169" s="445">
        <f>IF(D177=0,0,D168/D177)</f>
        <v>0.003253661895663072</v>
      </c>
      <c r="E169" s="445">
        <f>IF(E177=0,0,E168/E177)</f>
        <v>0.0018167198583106054</v>
      </c>
      <c r="F169" s="445">
        <f>IF(F177=0,0,F168/F177)</f>
        <v>0.0028231954217476348</v>
      </c>
      <c r="G169" s="445">
        <f>IF(G177=0,0,G168/G177)</f>
        <v>0.002129564034674592</v>
      </c>
    </row>
    <row r="170" spans="1:7" ht="12.75">
      <c r="A170" s="443" t="s">
        <v>422</v>
      </c>
      <c r="B170" s="444"/>
      <c r="C170" s="444" t="s">
        <v>423</v>
      </c>
      <c r="D170" s="442">
        <f>SUM(D82:D87)+SUM(D89:D94)</f>
        <v>98661</v>
      </c>
      <c r="E170" s="442">
        <f>SUM(E82:E87)+SUM(E89:E94)</f>
        <v>39381</v>
      </c>
      <c r="F170" s="442">
        <f>SUM(F82:F87)+SUM(F89:F94)</f>
        <v>33351</v>
      </c>
      <c r="G170" s="442">
        <f>SUM(G82:G87)+SUM(G89:G94)</f>
        <v>37869</v>
      </c>
    </row>
    <row r="171" spans="1:7" ht="12.75">
      <c r="A171" s="443" t="s">
        <v>424</v>
      </c>
      <c r="B171" s="444"/>
      <c r="C171" s="444" t="s">
        <v>425</v>
      </c>
      <c r="D171" s="461">
        <f>SUM(D96:D102)+SUM(D104:D105)</f>
        <v>60222.100000000006</v>
      </c>
      <c r="E171" s="461">
        <f>SUM(E96:E102)+SUM(E104:E105)</f>
        <v>10941</v>
      </c>
      <c r="F171" s="461">
        <f>SUM(F96:F102)+SUM(F104:F105)</f>
        <v>11026.800000000001</v>
      </c>
      <c r="G171" s="461">
        <f>SUM(G96:G102)+SUM(G104:G105)</f>
        <v>13143</v>
      </c>
    </row>
    <row r="172" spans="1:7" ht="12.75">
      <c r="A172" s="466" t="s">
        <v>413</v>
      </c>
      <c r="B172" s="464"/>
      <c r="C172" s="464" t="s">
        <v>426</v>
      </c>
      <c r="D172" s="465">
        <f>IF(D184=0,0,D170/D184)</f>
        <v>0.2613474254307805</v>
      </c>
      <c r="E172" s="465">
        <f>IF(E184=0,0,E170/E184)</f>
        <v>0.12156400562057189</v>
      </c>
      <c r="F172" s="465">
        <f>IF(F184=0,0,F170/F184)</f>
        <v>0.1050210193188796</v>
      </c>
      <c r="G172" s="465">
        <f>IF(G184=0,0,G170/G184)</f>
        <v>0.11652523467208065</v>
      </c>
    </row>
    <row r="174" spans="1:7" ht="12.75">
      <c r="A174" s="467" t="s">
        <v>427</v>
      </c>
      <c r="B174" s="468"/>
      <c r="C174" s="467"/>
      <c r="D174" s="364"/>
      <c r="E174" s="364"/>
      <c r="F174" s="364"/>
      <c r="G174" s="364"/>
    </row>
    <row r="175" spans="1:7" s="260" customFormat="1" ht="12.75">
      <c r="A175" s="468" t="s">
        <v>428</v>
      </c>
      <c r="B175" s="468"/>
      <c r="C175" s="468" t="s">
        <v>429</v>
      </c>
      <c r="D175" s="469">
        <v>41242</v>
      </c>
      <c r="E175" s="470">
        <v>41552</v>
      </c>
      <c r="F175" s="470">
        <v>41552</v>
      </c>
      <c r="G175" s="470">
        <v>41800</v>
      </c>
    </row>
    <row r="176" spans="1:7" ht="12.75">
      <c r="A176" s="467" t="s">
        <v>430</v>
      </c>
      <c r="B176" s="468"/>
      <c r="C176" s="468"/>
      <c r="D176" s="468"/>
      <c r="E176" s="468"/>
      <c r="F176" s="468"/>
      <c r="G176" s="468"/>
    </row>
    <row r="177" spans="1:7" ht="12.75">
      <c r="A177" s="468" t="s">
        <v>431</v>
      </c>
      <c r="B177" s="468"/>
      <c r="C177" s="468" t="s">
        <v>432</v>
      </c>
      <c r="D177" s="472">
        <f>SUM(D22:D32)+SUM(D44:D53)+SUM(D65:D72)+D75</f>
        <v>303073.9</v>
      </c>
      <c r="E177" s="472">
        <f>SUM(E22:E32)+SUM(E44:E53)+SUM(E65:E72)+E75</f>
        <v>298229.8</v>
      </c>
      <c r="F177" s="472">
        <f>SUM(F22:F32)+SUM(F44:F53)+SUM(F65:F72)+F75</f>
        <v>298987.45</v>
      </c>
      <c r="G177" s="472">
        <f>SUM(G22:G32)+SUM(G44:G53)+SUM(G65:G72)+G75</f>
        <v>303207.6</v>
      </c>
    </row>
    <row r="178" spans="1:7" ht="12.75">
      <c r="A178" s="468" t="s">
        <v>433</v>
      </c>
      <c r="B178" s="468"/>
      <c r="C178" s="468" t="s">
        <v>434</v>
      </c>
      <c r="D178" s="472">
        <f>D78-D17-D20-D59-D63-D64</f>
        <v>307017.05</v>
      </c>
      <c r="E178" s="472">
        <f>E78-E17-E20-E59-E63-E64</f>
        <v>303941.9</v>
      </c>
      <c r="F178" s="472">
        <f>F78-F17-F20-F59-F63-F64</f>
        <v>304220.4</v>
      </c>
      <c r="G178" s="472">
        <f>G78-G17-G20-G59-G63-G64</f>
        <v>306939.80000000005</v>
      </c>
    </row>
    <row r="179" spans="1:7" ht="12.75">
      <c r="A179" s="468"/>
      <c r="B179" s="468"/>
      <c r="C179" s="468" t="s">
        <v>435</v>
      </c>
      <c r="D179" s="472">
        <f>D178+D170</f>
        <v>405678.05</v>
      </c>
      <c r="E179" s="472">
        <f>E178+E170</f>
        <v>343322.9</v>
      </c>
      <c r="F179" s="472">
        <f>F178+F170</f>
        <v>337571.4</v>
      </c>
      <c r="G179" s="472">
        <f>G178+G170</f>
        <v>344808.80000000005</v>
      </c>
    </row>
    <row r="180" spans="1:7" ht="12.75">
      <c r="A180" s="468" t="s">
        <v>436</v>
      </c>
      <c r="B180" s="468"/>
      <c r="C180" s="468" t="s">
        <v>437</v>
      </c>
      <c r="D180" s="472">
        <f>D38-D44+D8+D9+D10+D16-D33</f>
        <v>27214.5</v>
      </c>
      <c r="E180" s="472">
        <f>E38-E44+E8+E9+E10+E16-E33</f>
        <v>19417.8</v>
      </c>
      <c r="F180" s="472">
        <f>F38-F44+F8+F9+F10+F16-F33</f>
        <v>19078.5</v>
      </c>
      <c r="G180" s="472">
        <f>G38-G44+G8+G9+G10+G16-G33</f>
        <v>19529.7</v>
      </c>
    </row>
    <row r="181" spans="1:7" ht="27" customHeight="1">
      <c r="A181" s="473" t="s">
        <v>438</v>
      </c>
      <c r="B181" s="474"/>
      <c r="C181" s="474" t="s">
        <v>439</v>
      </c>
      <c r="D181" s="475">
        <f>D22+D23+D24+D25+D26+D29+SUM(D44:D47)+SUM(D49:D53)-D54+D32-D33+SUM(D65:D70)+D72</f>
        <v>302280.6</v>
      </c>
      <c r="E181" s="475">
        <f>E22+E23+E24+E25+E26+E29+SUM(E44:E47)+SUM(E49:E53)-E54+E32-E33+SUM(E65:E70)+E72</f>
        <v>297816.3</v>
      </c>
      <c r="F181" s="475">
        <f>F22+F23+F24+F25+F26+F29+SUM(F44:F47)+SUM(F49:F53)-F54+F32-F33+SUM(F65:F70)+F72</f>
        <v>298732.10000000003</v>
      </c>
      <c r="G181" s="475">
        <f>G22+G23+G24+G25+G26+G29+SUM(G44:G47)+SUM(G49:G53)-G54+G32-G33+SUM(G65:G70)+G72</f>
        <v>302920.89999999997</v>
      </c>
    </row>
    <row r="182" spans="1:7" ht="12.75">
      <c r="A182" s="474" t="s">
        <v>440</v>
      </c>
      <c r="B182" s="474"/>
      <c r="C182" s="474" t="s">
        <v>441</v>
      </c>
      <c r="D182" s="475">
        <f>D181+D171</f>
        <v>362502.69999999995</v>
      </c>
      <c r="E182" s="475">
        <f>E181+E171</f>
        <v>308757.3</v>
      </c>
      <c r="F182" s="475">
        <f>F181+F171</f>
        <v>309758.9</v>
      </c>
      <c r="G182" s="475">
        <f>G181+G171</f>
        <v>316063.89999999997</v>
      </c>
    </row>
    <row r="183" spans="1:7" ht="12.75">
      <c r="A183" s="474" t="s">
        <v>442</v>
      </c>
      <c r="B183" s="474"/>
      <c r="C183" s="474" t="s">
        <v>443</v>
      </c>
      <c r="D183" s="475">
        <f>D4+D5-D7+D38+D39+D40+D41+D43+D13-D16+D57+D58+D60+D61+D62</f>
        <v>278847.98</v>
      </c>
      <c r="E183" s="475">
        <f>E4+E5-E7+E38+E39+E40+E41+E43+E13-E16+E57+E58+E60+E61+E62</f>
        <v>284571.8</v>
      </c>
      <c r="F183" s="475">
        <f>F4+F5-F7+F38+F39+F40+F41+F43+F13-F16+F57+F58+F60+F61+F62</f>
        <v>284214</v>
      </c>
      <c r="G183" s="475">
        <f>G4+G5-G7+G38+G39+G40+G41+G43+G13-G16+G57+G58+G60+G61+G62</f>
        <v>287116.4</v>
      </c>
    </row>
    <row r="184" spans="1:7" ht="12.75">
      <c r="A184" s="474" t="s">
        <v>444</v>
      </c>
      <c r="B184" s="474"/>
      <c r="C184" s="474" t="s">
        <v>445</v>
      </c>
      <c r="D184" s="475">
        <f>D183+D170</f>
        <v>377508.98</v>
      </c>
      <c r="E184" s="475">
        <f>E183+E170</f>
        <v>323952.8</v>
      </c>
      <c r="F184" s="475">
        <f>F183+F170</f>
        <v>317565</v>
      </c>
      <c r="G184" s="475">
        <f>G183+G170</f>
        <v>324985.4</v>
      </c>
    </row>
    <row r="185" spans="1:7" ht="12.75">
      <c r="A185" s="474"/>
      <c r="B185" s="474"/>
      <c r="C185" s="474" t="s">
        <v>446</v>
      </c>
      <c r="D185" s="475">
        <f aca="true" t="shared" si="0" ref="D185:G186">D181-D183</f>
        <v>23432.619999999995</v>
      </c>
      <c r="E185" s="475">
        <f t="shared" si="0"/>
        <v>13244.5</v>
      </c>
      <c r="F185" s="475">
        <f t="shared" si="0"/>
        <v>14518.100000000035</v>
      </c>
      <c r="G185" s="475">
        <f t="shared" si="0"/>
        <v>15804.499999999942</v>
      </c>
    </row>
    <row r="186" spans="1:7" ht="12.75">
      <c r="A186" s="474"/>
      <c r="B186" s="474"/>
      <c r="C186" s="474" t="s">
        <v>447</v>
      </c>
      <c r="D186" s="475">
        <f t="shared" si="0"/>
        <v>-15006.280000000028</v>
      </c>
      <c r="E186" s="475">
        <f t="shared" si="0"/>
        <v>-15195.5</v>
      </c>
      <c r="F186" s="475">
        <f t="shared" si="0"/>
        <v>-7806.099999999977</v>
      </c>
      <c r="G186" s="475">
        <f t="shared" si="0"/>
        <v>-8921.500000000058</v>
      </c>
    </row>
  </sheetData>
  <sheetProtection/>
  <mergeCells count="2">
    <mergeCell ref="A3:C3"/>
    <mergeCell ref="A81:C81"/>
  </mergeCells>
  <printOptions/>
  <pageMargins left="0.25" right="0.25" top="0.75" bottom="0.75" header="0.3" footer="0.3"/>
  <pageSetup horizontalDpi="600" verticalDpi="600" orientation="portrait" paperSize="9" r:id="rId3"/>
  <headerFooter alignWithMargins="0">
    <oddHeader>&amp;LFachgruppe für kantonale Finanzfragen (FkF)
Groupe d'études pour les finances cantonales
&amp;CRechnung 2011 - Budget 2013
Compte 2011 - Budget 2013&amp;RZürich, 12.9.2013</oddHeader>
    <oddFooter>&amp;LQuelle/Source: FkF Sept. 2013</oddFooter>
  </headerFooter>
  <rowBreaks count="2" manualBreakCount="2">
    <brk id="80" max="8" man="1"/>
    <brk id="148" max="8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86"/>
  <sheetViews>
    <sheetView zoomScale="115" zoomScaleNormal="115" zoomScalePageLayoutView="0" workbookViewId="0" topLeftCell="A1">
      <selection activeCell="A1" sqref="A1:G186"/>
    </sheetView>
  </sheetViews>
  <sheetFormatPr defaultColWidth="11.421875" defaultRowHeight="12.75"/>
  <cols>
    <col min="1" max="1" width="16.7109375" style="252" customWidth="1"/>
    <col min="2" max="2" width="3.7109375" style="252" customWidth="1"/>
    <col min="3" max="3" width="39.7109375" style="252" customWidth="1"/>
    <col min="4" max="4" width="12.7109375" style="252" customWidth="1"/>
    <col min="5" max="5" width="11.421875" style="252" customWidth="1"/>
    <col min="6" max="6" width="12.7109375" style="252" customWidth="1"/>
    <col min="7" max="16384" width="11.421875" style="252" customWidth="1"/>
  </cols>
  <sheetData>
    <row r="1" spans="1:55" s="243" customFormat="1" ht="18" customHeight="1">
      <c r="A1" s="237" t="s">
        <v>220</v>
      </c>
      <c r="B1" s="532" t="s">
        <v>666</v>
      </c>
      <c r="C1" s="532" t="s">
        <v>110</v>
      </c>
      <c r="D1" s="241" t="s">
        <v>22</v>
      </c>
      <c r="E1" s="240" t="s">
        <v>105</v>
      </c>
      <c r="F1" s="241" t="s">
        <v>22</v>
      </c>
      <c r="G1" s="240" t="s">
        <v>105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7" s="249" customFormat="1" ht="15" customHeight="1">
      <c r="A2" s="244"/>
      <c r="B2" s="245"/>
      <c r="C2" s="246" t="s">
        <v>222</v>
      </c>
      <c r="D2" s="248">
        <v>2011</v>
      </c>
      <c r="E2" s="247">
        <v>2012</v>
      </c>
      <c r="F2" s="248">
        <v>2012</v>
      </c>
      <c r="G2" s="247">
        <v>2013</v>
      </c>
    </row>
    <row r="3" spans="1:7" ht="15" customHeight="1">
      <c r="A3" s="609" t="s">
        <v>223</v>
      </c>
      <c r="B3" s="610"/>
      <c r="C3" s="610"/>
      <c r="D3" s="250"/>
      <c r="F3" s="250"/>
      <c r="G3" s="253" t="s">
        <v>103</v>
      </c>
    </row>
    <row r="4" spans="1:7" s="260" customFormat="1" ht="12.75" customHeight="1">
      <c r="A4" s="479">
        <v>30</v>
      </c>
      <c r="B4" s="480"/>
      <c r="C4" s="256" t="s">
        <v>29</v>
      </c>
      <c r="D4" s="257">
        <v>71379.2</v>
      </c>
      <c r="E4" s="257">
        <v>67758.5</v>
      </c>
      <c r="F4" s="258">
        <v>64902.7</v>
      </c>
      <c r="G4" s="259">
        <v>69060.1</v>
      </c>
    </row>
    <row r="5" spans="1:7" s="260" customFormat="1" ht="12.75" customHeight="1">
      <c r="A5" s="261">
        <v>31</v>
      </c>
      <c r="B5" s="262"/>
      <c r="C5" s="263" t="s">
        <v>224</v>
      </c>
      <c r="D5" s="264">
        <v>31330.8</v>
      </c>
      <c r="E5" s="264">
        <v>29880.5</v>
      </c>
      <c r="F5" s="266">
        <v>29960.2</v>
      </c>
      <c r="G5" s="267">
        <v>32457.2</v>
      </c>
    </row>
    <row r="6" spans="1:7" s="260" customFormat="1" ht="12.75" customHeight="1">
      <c r="A6" s="268" t="s">
        <v>32</v>
      </c>
      <c r="B6" s="269"/>
      <c r="C6" s="270" t="s">
        <v>225</v>
      </c>
      <c r="D6" s="271">
        <v>8902.05</v>
      </c>
      <c r="E6" s="271">
        <v>7040</v>
      </c>
      <c r="F6" s="272">
        <v>7587.5</v>
      </c>
      <c r="G6" s="273">
        <v>8509</v>
      </c>
    </row>
    <row r="7" spans="1:7" s="260" customFormat="1" ht="12.75" customHeight="1">
      <c r="A7" s="268" t="s">
        <v>226</v>
      </c>
      <c r="B7" s="269"/>
      <c r="C7" s="270" t="s">
        <v>227</v>
      </c>
      <c r="D7" s="271">
        <v>1463.8</v>
      </c>
      <c r="E7" s="271">
        <v>119</v>
      </c>
      <c r="F7" s="272">
        <v>401.8</v>
      </c>
      <c r="G7" s="273">
        <v>52.4</v>
      </c>
    </row>
    <row r="8" spans="1:7" s="260" customFormat="1" ht="12.75" customHeight="1">
      <c r="A8" s="274">
        <v>330</v>
      </c>
      <c r="B8" s="262"/>
      <c r="C8" s="263" t="s">
        <v>228</v>
      </c>
      <c r="D8" s="275">
        <v>9019</v>
      </c>
      <c r="E8" s="275">
        <v>13896</v>
      </c>
      <c r="F8" s="266">
        <v>8547.1</v>
      </c>
      <c r="G8" s="276">
        <v>9108</v>
      </c>
    </row>
    <row r="9" spans="1:7" s="260" customFormat="1" ht="12.75" customHeight="1">
      <c r="A9" s="274">
        <v>332</v>
      </c>
      <c r="B9" s="262"/>
      <c r="C9" s="263" t="s">
        <v>229</v>
      </c>
      <c r="D9" s="275">
        <v>0</v>
      </c>
      <c r="E9" s="275">
        <v>0</v>
      </c>
      <c r="F9" s="266">
        <v>0</v>
      </c>
      <c r="G9" s="276">
        <v>0</v>
      </c>
    </row>
    <row r="10" spans="1:7" s="260" customFormat="1" ht="12.75" customHeight="1">
      <c r="A10" s="274">
        <v>339</v>
      </c>
      <c r="B10" s="262"/>
      <c r="C10" s="263" t="s">
        <v>230</v>
      </c>
      <c r="D10" s="275">
        <v>0</v>
      </c>
      <c r="E10" s="275">
        <v>0</v>
      </c>
      <c r="F10" s="266">
        <v>0</v>
      </c>
      <c r="G10" s="276">
        <v>0</v>
      </c>
    </row>
    <row r="11" spans="1:7" s="260" customFormat="1" ht="12.75" customHeight="1">
      <c r="A11" s="261">
        <v>350</v>
      </c>
      <c r="B11" s="262"/>
      <c r="C11" s="263" t="s">
        <v>231</v>
      </c>
      <c r="D11" s="275">
        <v>2428.3999999999996</v>
      </c>
      <c r="E11" s="275">
        <v>2262</v>
      </c>
      <c r="F11" s="275">
        <v>2990.9</v>
      </c>
      <c r="G11" s="277">
        <v>2262</v>
      </c>
    </row>
    <row r="12" spans="1:7" s="285" customFormat="1" ht="12.75">
      <c r="A12" s="278">
        <v>351</v>
      </c>
      <c r="B12" s="279"/>
      <c r="C12" s="280" t="s">
        <v>232</v>
      </c>
      <c r="D12" s="282">
        <v>877.8</v>
      </c>
      <c r="E12" s="282">
        <v>1313.1</v>
      </c>
      <c r="F12" s="508">
        <v>1787.5</v>
      </c>
      <c r="G12" s="482">
        <v>1351</v>
      </c>
    </row>
    <row r="13" spans="1:7" s="260" customFormat="1" ht="12.75" customHeight="1">
      <c r="A13" s="261">
        <v>36</v>
      </c>
      <c r="B13" s="262"/>
      <c r="C13" s="263" t="s">
        <v>233</v>
      </c>
      <c r="D13" s="275">
        <v>189993.1</v>
      </c>
      <c r="E13" s="264">
        <v>160896</v>
      </c>
      <c r="F13" s="286">
        <v>160428.8</v>
      </c>
      <c r="G13" s="276">
        <v>163541</v>
      </c>
    </row>
    <row r="14" spans="1:7" s="260" customFormat="1" ht="12.75" customHeight="1">
      <c r="A14" s="287" t="s">
        <v>234</v>
      </c>
      <c r="B14" s="262"/>
      <c r="C14" s="288" t="s">
        <v>235</v>
      </c>
      <c r="D14" s="271">
        <v>3190.5</v>
      </c>
      <c r="E14" s="323">
        <v>39847.9</v>
      </c>
      <c r="F14" s="286">
        <v>42626.3</v>
      </c>
      <c r="G14" s="276">
        <v>40827.9</v>
      </c>
    </row>
    <row r="15" spans="1:7" s="260" customFormat="1" ht="12.75" customHeight="1">
      <c r="A15" s="287" t="s">
        <v>236</v>
      </c>
      <c r="B15" s="262"/>
      <c r="C15" s="288" t="s">
        <v>237</v>
      </c>
      <c r="D15" s="271">
        <v>2087.5</v>
      </c>
      <c r="E15" s="323">
        <v>2178.3</v>
      </c>
      <c r="F15" s="286">
        <v>2130.1</v>
      </c>
      <c r="G15" s="276">
        <v>2517</v>
      </c>
    </row>
    <row r="16" spans="1:7" s="297" customFormat="1" ht="26.25" customHeight="1">
      <c r="A16" s="287" t="s">
        <v>238</v>
      </c>
      <c r="B16" s="483"/>
      <c r="C16" s="288" t="s">
        <v>239</v>
      </c>
      <c r="D16" s="293">
        <v>4981.4</v>
      </c>
      <c r="E16" s="294">
        <v>5762.9</v>
      </c>
      <c r="F16" s="295">
        <v>4490.1</v>
      </c>
      <c r="G16" s="296">
        <v>5657</v>
      </c>
    </row>
    <row r="17" spans="1:7" s="299" customFormat="1" ht="12.75">
      <c r="A17" s="261">
        <v>37</v>
      </c>
      <c r="B17" s="262"/>
      <c r="C17" s="263" t="s">
        <v>240</v>
      </c>
      <c r="D17" s="316">
        <v>28430.6</v>
      </c>
      <c r="E17" s="264">
        <v>24177.5</v>
      </c>
      <c r="F17" s="286">
        <v>25377.8</v>
      </c>
      <c r="G17" s="298">
        <v>25543.5</v>
      </c>
    </row>
    <row r="18" spans="1:7" s="299" customFormat="1" ht="12.75">
      <c r="A18" s="322" t="s">
        <v>241</v>
      </c>
      <c r="B18" s="269"/>
      <c r="C18" s="270" t="s">
        <v>242</v>
      </c>
      <c r="D18" s="485">
        <v>703.8</v>
      </c>
      <c r="E18" s="323">
        <v>0</v>
      </c>
      <c r="F18" s="286">
        <v>799</v>
      </c>
      <c r="G18" s="298">
        <v>800</v>
      </c>
    </row>
    <row r="19" spans="1:7" s="299" customFormat="1" ht="12.75">
      <c r="A19" s="322" t="s">
        <v>243</v>
      </c>
      <c r="B19" s="269"/>
      <c r="C19" s="270" t="s">
        <v>244</v>
      </c>
      <c r="D19" s="485">
        <v>0</v>
      </c>
      <c r="E19" s="323">
        <v>0</v>
      </c>
      <c r="F19" s="286">
        <v>0</v>
      </c>
      <c r="G19" s="298">
        <v>0</v>
      </c>
    </row>
    <row r="20" spans="1:7" s="260" customFormat="1" ht="12.75" customHeight="1">
      <c r="A20" s="301">
        <v>39</v>
      </c>
      <c r="B20" s="302"/>
      <c r="C20" s="303" t="s">
        <v>245</v>
      </c>
      <c r="D20" s="306">
        <v>10680.1</v>
      </c>
      <c r="E20" s="304">
        <v>12372.6</v>
      </c>
      <c r="F20" s="307">
        <v>11007.8</v>
      </c>
      <c r="G20" s="308">
        <v>11451.9</v>
      </c>
    </row>
    <row r="21" spans="1:7" ht="12.75" customHeight="1">
      <c r="A21" s="309"/>
      <c r="B21" s="309"/>
      <c r="C21" s="310" t="s">
        <v>246</v>
      </c>
      <c r="D21" s="311">
        <f>D4+D5+SUM(D8:D13)+D17</f>
        <v>333458.9</v>
      </c>
      <c r="E21" s="311">
        <f>E4+E5+SUM(E8:E13)+E17</f>
        <v>300183.6</v>
      </c>
      <c r="F21" s="311">
        <f>F4+F5+SUM(F8:F13)+F17</f>
        <v>293994.99999999994</v>
      </c>
      <c r="G21" s="311">
        <f>G4+G5+SUM(G8:G13)+G17</f>
        <v>303322.8</v>
      </c>
    </row>
    <row r="22" spans="1:7" s="260" customFormat="1" ht="12.75" customHeight="1">
      <c r="A22" s="274" t="s">
        <v>247</v>
      </c>
      <c r="B22" s="262"/>
      <c r="C22" s="263" t="s">
        <v>248</v>
      </c>
      <c r="D22" s="275">
        <f>83896.4+12438</f>
        <v>96334.4</v>
      </c>
      <c r="E22" s="275">
        <v>88068</v>
      </c>
      <c r="F22" s="266">
        <v>81222.8</v>
      </c>
      <c r="G22" s="276">
        <v>79900</v>
      </c>
    </row>
    <row r="23" spans="1:7" s="260" customFormat="1" ht="12.75" customHeight="1">
      <c r="A23" s="274" t="s">
        <v>249</v>
      </c>
      <c r="B23" s="262"/>
      <c r="C23" s="263" t="s">
        <v>250</v>
      </c>
      <c r="D23" s="275">
        <f>3008.4+10733.2</f>
        <v>13741.6</v>
      </c>
      <c r="E23" s="275">
        <v>12701</v>
      </c>
      <c r="F23" s="266">
        <v>14099.7</v>
      </c>
      <c r="G23" s="276">
        <v>13391</v>
      </c>
    </row>
    <row r="24" spans="1:7" s="313" customFormat="1" ht="12.75" customHeight="1">
      <c r="A24" s="261">
        <v>41</v>
      </c>
      <c r="B24" s="262"/>
      <c r="C24" s="263" t="s">
        <v>251</v>
      </c>
      <c r="D24" s="275">
        <v>16143.6</v>
      </c>
      <c r="E24" s="275">
        <v>7413.1</v>
      </c>
      <c r="F24" s="266">
        <v>12378.2</v>
      </c>
      <c r="G24" s="276">
        <v>11185</v>
      </c>
    </row>
    <row r="25" spans="1:7" s="260" customFormat="1" ht="12.75" customHeight="1">
      <c r="A25" s="314">
        <v>42</v>
      </c>
      <c r="B25" s="315"/>
      <c r="C25" s="263" t="s">
        <v>252</v>
      </c>
      <c r="D25" s="275">
        <v>58263.1</v>
      </c>
      <c r="E25" s="275">
        <v>29413.9</v>
      </c>
      <c r="F25" s="266">
        <v>33444.5</v>
      </c>
      <c r="G25" s="276">
        <v>29194</v>
      </c>
    </row>
    <row r="26" spans="1:7" s="318" customFormat="1" ht="12.75" customHeight="1">
      <c r="A26" s="278">
        <v>430</v>
      </c>
      <c r="B26" s="262"/>
      <c r="C26" s="263" t="s">
        <v>253</v>
      </c>
      <c r="D26" s="316">
        <v>48.29</v>
      </c>
      <c r="E26" s="316">
        <v>44.5</v>
      </c>
      <c r="F26" s="317">
        <v>41.3</v>
      </c>
      <c r="G26" s="298">
        <v>43.5</v>
      </c>
    </row>
    <row r="27" spans="1:7" s="318" customFormat="1" ht="12.75" customHeight="1">
      <c r="A27" s="278">
        <v>431</v>
      </c>
      <c r="B27" s="262"/>
      <c r="C27" s="263" t="s">
        <v>254</v>
      </c>
      <c r="D27" s="316">
        <v>87.29</v>
      </c>
      <c r="E27" s="316">
        <v>190</v>
      </c>
      <c r="F27" s="317">
        <v>38.2</v>
      </c>
      <c r="G27" s="298">
        <v>300</v>
      </c>
    </row>
    <row r="28" spans="1:7" s="318" customFormat="1" ht="12.75" customHeight="1">
      <c r="A28" s="278">
        <v>432</v>
      </c>
      <c r="B28" s="262"/>
      <c r="C28" s="263" t="s">
        <v>255</v>
      </c>
      <c r="D28" s="316">
        <v>0</v>
      </c>
      <c r="E28" s="316">
        <v>0</v>
      </c>
      <c r="F28" s="317">
        <v>14.4</v>
      </c>
      <c r="G28" s="298">
        <v>0</v>
      </c>
    </row>
    <row r="29" spans="1:7" s="318" customFormat="1" ht="12.75" customHeight="1">
      <c r="A29" s="278">
        <v>439</v>
      </c>
      <c r="B29" s="262"/>
      <c r="C29" s="263" t="s">
        <v>256</v>
      </c>
      <c r="D29" s="316">
        <v>0</v>
      </c>
      <c r="E29" s="316">
        <v>0</v>
      </c>
      <c r="F29" s="317">
        <v>2.2</v>
      </c>
      <c r="G29" s="298">
        <v>0</v>
      </c>
    </row>
    <row r="30" spans="1:7" s="260" customFormat="1" ht="30.75" customHeight="1">
      <c r="A30" s="278">
        <v>450</v>
      </c>
      <c r="B30" s="279"/>
      <c r="C30" s="280" t="s">
        <v>257</v>
      </c>
      <c r="D30" s="264">
        <v>2518.95</v>
      </c>
      <c r="E30" s="264">
        <v>363.80000000000007</v>
      </c>
      <c r="F30" s="264">
        <v>570.7</v>
      </c>
      <c r="G30" s="319">
        <v>373.6</v>
      </c>
    </row>
    <row r="31" spans="1:7" s="285" customFormat="1" ht="29.25" customHeight="1">
      <c r="A31" s="278">
        <v>451</v>
      </c>
      <c r="B31" s="279"/>
      <c r="C31" s="280" t="s">
        <v>258</v>
      </c>
      <c r="D31" s="281">
        <v>12409.7</v>
      </c>
      <c r="E31" s="281">
        <v>997.1</v>
      </c>
      <c r="F31" s="266">
        <v>920.8</v>
      </c>
      <c r="G31" s="276">
        <v>2565.4</v>
      </c>
    </row>
    <row r="32" spans="1:7" s="260" customFormat="1" ht="12.75" customHeight="1">
      <c r="A32" s="261">
        <v>46</v>
      </c>
      <c r="B32" s="262"/>
      <c r="C32" s="263" t="s">
        <v>259</v>
      </c>
      <c r="D32" s="275">
        <v>118667.8</v>
      </c>
      <c r="E32" s="275">
        <v>122864.9</v>
      </c>
      <c r="F32" s="266">
        <v>122530</v>
      </c>
      <c r="G32" s="276">
        <v>128255.7</v>
      </c>
    </row>
    <row r="33" spans="1:7" s="285" customFormat="1" ht="12.75" customHeight="1">
      <c r="A33" s="322" t="s">
        <v>260</v>
      </c>
      <c r="B33" s="269"/>
      <c r="C33" s="270" t="s">
        <v>261</v>
      </c>
      <c r="D33" s="271">
        <v>0</v>
      </c>
      <c r="E33" s="275">
        <v>0</v>
      </c>
      <c r="F33" s="266">
        <v>0</v>
      </c>
      <c r="G33" s="273">
        <v>0</v>
      </c>
    </row>
    <row r="34" spans="1:7" s="260" customFormat="1" ht="15" customHeight="1">
      <c r="A34" s="261">
        <v>47</v>
      </c>
      <c r="B34" s="262"/>
      <c r="C34" s="263" t="s">
        <v>240</v>
      </c>
      <c r="D34" s="275">
        <v>28430.6</v>
      </c>
      <c r="E34" s="275">
        <v>24177.5</v>
      </c>
      <c r="F34" s="266">
        <v>25377.8</v>
      </c>
      <c r="G34" s="276">
        <v>25543.5</v>
      </c>
    </row>
    <row r="35" spans="1:7" s="260" customFormat="1" ht="15" customHeight="1">
      <c r="A35" s="301">
        <v>49</v>
      </c>
      <c r="B35" s="302"/>
      <c r="C35" s="303" t="s">
        <v>262</v>
      </c>
      <c r="D35" s="306">
        <v>10680.1</v>
      </c>
      <c r="E35" s="304">
        <v>12372.6</v>
      </c>
      <c r="F35" s="307">
        <v>11007.8</v>
      </c>
      <c r="G35" s="308">
        <v>11451.9</v>
      </c>
    </row>
    <row r="36" spans="1:7" ht="13.5" customHeight="1">
      <c r="A36" s="309"/>
      <c r="B36" s="335"/>
      <c r="C36" s="310" t="s">
        <v>263</v>
      </c>
      <c r="D36" s="311">
        <f>D22+D23+D24+D25+D26+D27+D28+D29+D30+D31+D32+D34</f>
        <v>346645.33</v>
      </c>
      <c r="E36" s="311">
        <f>E22+E23+E24+E25+E26+E27+E28+E29+E30+E31+E32+E34</f>
        <v>286233.8</v>
      </c>
      <c r="F36" s="311">
        <f>F22+F23+F24+F25+F26+F27+F28+F29+F30+F31+F32+F34</f>
        <v>290640.60000000003</v>
      </c>
      <c r="G36" s="311">
        <f>G22+G23+G24+G25+G26+G27+G28+G29+G30+G31+G32+G34</f>
        <v>290751.7</v>
      </c>
    </row>
    <row r="37" spans="1:7" s="487" customFormat="1" ht="15" customHeight="1">
      <c r="A37" s="309"/>
      <c r="B37" s="335"/>
      <c r="C37" s="310" t="s">
        <v>264</v>
      </c>
      <c r="D37" s="311">
        <f>D36-D21</f>
        <v>13186.429999999993</v>
      </c>
      <c r="E37" s="311">
        <f>E36-E21</f>
        <v>-13949.799999999988</v>
      </c>
      <c r="F37" s="311">
        <f>F36-F21</f>
        <v>-3354.399999999907</v>
      </c>
      <c r="G37" s="311">
        <f>G36-G21</f>
        <v>-12571.099999999977</v>
      </c>
    </row>
    <row r="38" spans="1:7" s="285" customFormat="1" ht="15" customHeight="1">
      <c r="A38" s="274">
        <v>340</v>
      </c>
      <c r="B38" s="262"/>
      <c r="C38" s="263" t="s">
        <v>265</v>
      </c>
      <c r="D38" s="275">
        <v>2813.5</v>
      </c>
      <c r="E38" s="264">
        <v>2371.5</v>
      </c>
      <c r="F38" s="286">
        <v>2368.8</v>
      </c>
      <c r="G38" s="276">
        <v>1652</v>
      </c>
    </row>
    <row r="39" spans="1:7" s="285" customFormat="1" ht="15" customHeight="1">
      <c r="A39" s="274">
        <v>341</v>
      </c>
      <c r="B39" s="262"/>
      <c r="C39" s="263" t="s">
        <v>266</v>
      </c>
      <c r="D39" s="275">
        <v>0</v>
      </c>
      <c r="E39" s="275">
        <v>0</v>
      </c>
      <c r="F39" s="266">
        <v>0</v>
      </c>
      <c r="G39" s="276">
        <v>0</v>
      </c>
    </row>
    <row r="40" spans="1:7" s="285" customFormat="1" ht="15" customHeight="1">
      <c r="A40" s="274">
        <v>342</v>
      </c>
      <c r="B40" s="262"/>
      <c r="C40" s="263" t="s">
        <v>267</v>
      </c>
      <c r="D40" s="275">
        <v>0</v>
      </c>
      <c r="E40" s="275">
        <v>0</v>
      </c>
      <c r="F40" s="266">
        <v>0</v>
      </c>
      <c r="G40" s="276">
        <v>0</v>
      </c>
    </row>
    <row r="41" spans="1:7" s="285" customFormat="1" ht="15" customHeight="1">
      <c r="A41" s="274">
        <v>343</v>
      </c>
      <c r="B41" s="262"/>
      <c r="C41" s="263" t="s">
        <v>268</v>
      </c>
      <c r="D41" s="275">
        <v>361.28</v>
      </c>
      <c r="E41" s="275">
        <v>150</v>
      </c>
      <c r="F41" s="266">
        <v>144.9</v>
      </c>
      <c r="G41" s="276">
        <v>1160</v>
      </c>
    </row>
    <row r="42" spans="1:7" s="285" customFormat="1" ht="15" customHeight="1">
      <c r="A42" s="274">
        <v>344</v>
      </c>
      <c r="B42" s="262"/>
      <c r="C42" s="263" t="s">
        <v>269</v>
      </c>
      <c r="D42" s="275">
        <v>1067</v>
      </c>
      <c r="E42" s="275">
        <v>0</v>
      </c>
      <c r="F42" s="266">
        <v>11780.6</v>
      </c>
      <c r="G42" s="276">
        <v>0</v>
      </c>
    </row>
    <row r="43" spans="1:7" s="285" customFormat="1" ht="15" customHeight="1">
      <c r="A43" s="274">
        <v>349</v>
      </c>
      <c r="B43" s="262"/>
      <c r="C43" s="263" t="s">
        <v>270</v>
      </c>
      <c r="D43" s="275">
        <v>1301.76</v>
      </c>
      <c r="E43" s="275">
        <v>1850</v>
      </c>
      <c r="F43" s="266">
        <v>2408.9</v>
      </c>
      <c r="G43" s="276">
        <v>4100</v>
      </c>
    </row>
    <row r="44" spans="1:7" s="260" customFormat="1" ht="15" customHeight="1">
      <c r="A44" s="261">
        <v>440</v>
      </c>
      <c r="B44" s="262"/>
      <c r="C44" s="263" t="s">
        <v>271</v>
      </c>
      <c r="D44" s="275">
        <v>6678.3</v>
      </c>
      <c r="E44" s="264">
        <v>6425.1</v>
      </c>
      <c r="F44" s="286">
        <v>6401.9</v>
      </c>
      <c r="G44" s="276">
        <v>6454.1</v>
      </c>
    </row>
    <row r="45" spans="1:7" s="260" customFormat="1" ht="15" customHeight="1">
      <c r="A45" s="261">
        <v>441</v>
      </c>
      <c r="B45" s="262"/>
      <c r="C45" s="263" t="s">
        <v>272</v>
      </c>
      <c r="D45" s="275">
        <v>0</v>
      </c>
      <c r="E45" s="264">
        <v>0</v>
      </c>
      <c r="F45" s="286">
        <v>0</v>
      </c>
      <c r="G45" s="276">
        <v>0</v>
      </c>
    </row>
    <row r="46" spans="1:7" s="260" customFormat="1" ht="15" customHeight="1">
      <c r="A46" s="261">
        <v>442</v>
      </c>
      <c r="B46" s="262"/>
      <c r="C46" s="263" t="s">
        <v>273</v>
      </c>
      <c r="D46" s="275">
        <v>1733.7</v>
      </c>
      <c r="E46" s="264">
        <v>2250</v>
      </c>
      <c r="F46" s="286">
        <v>2321.9</v>
      </c>
      <c r="G46" s="276">
        <v>4000</v>
      </c>
    </row>
    <row r="47" spans="1:7" s="260" customFormat="1" ht="15" customHeight="1">
      <c r="A47" s="261">
        <v>443</v>
      </c>
      <c r="B47" s="262"/>
      <c r="C47" s="263" t="s">
        <v>274</v>
      </c>
      <c r="D47" s="275">
        <v>1131.9</v>
      </c>
      <c r="E47" s="264">
        <v>1063.2</v>
      </c>
      <c r="F47" s="286">
        <v>1262.9</v>
      </c>
      <c r="G47" s="276">
        <v>1268.2</v>
      </c>
    </row>
    <row r="48" spans="1:7" s="260" customFormat="1" ht="15" customHeight="1">
      <c r="A48" s="261">
        <v>444</v>
      </c>
      <c r="B48" s="262"/>
      <c r="C48" s="263" t="s">
        <v>269</v>
      </c>
      <c r="D48" s="275">
        <v>1067</v>
      </c>
      <c r="E48" s="264">
        <v>0</v>
      </c>
      <c r="F48" s="286">
        <v>11780.6</v>
      </c>
      <c r="G48" s="276">
        <v>0</v>
      </c>
    </row>
    <row r="49" spans="1:7" s="260" customFormat="1" ht="15" customHeight="1">
      <c r="A49" s="261">
        <v>445</v>
      </c>
      <c r="B49" s="262"/>
      <c r="C49" s="263" t="s">
        <v>275</v>
      </c>
      <c r="D49" s="275">
        <v>8.96</v>
      </c>
      <c r="E49" s="264">
        <v>20</v>
      </c>
      <c r="F49" s="286">
        <v>1.9</v>
      </c>
      <c r="G49" s="276">
        <v>2010</v>
      </c>
    </row>
    <row r="50" spans="1:7" s="260" customFormat="1" ht="15" customHeight="1">
      <c r="A50" s="261">
        <v>446</v>
      </c>
      <c r="B50" s="262"/>
      <c r="C50" s="263" t="s">
        <v>276</v>
      </c>
      <c r="D50" s="275">
        <v>2304.4</v>
      </c>
      <c r="E50" s="264">
        <v>1880</v>
      </c>
      <c r="F50" s="286">
        <v>1830.2</v>
      </c>
      <c r="G50" s="276">
        <v>1382</v>
      </c>
    </row>
    <row r="51" spans="1:7" s="260" customFormat="1" ht="15" customHeight="1">
      <c r="A51" s="261">
        <v>447</v>
      </c>
      <c r="B51" s="262"/>
      <c r="C51" s="263" t="s">
        <v>277</v>
      </c>
      <c r="D51" s="275">
        <v>301.8</v>
      </c>
      <c r="E51" s="264">
        <v>135.5</v>
      </c>
      <c r="F51" s="286">
        <v>449</v>
      </c>
      <c r="G51" s="276">
        <v>425.5</v>
      </c>
    </row>
    <row r="52" spans="1:7" s="260" customFormat="1" ht="15" customHeight="1">
      <c r="A52" s="261">
        <v>448</v>
      </c>
      <c r="B52" s="262"/>
      <c r="C52" s="263" t="s">
        <v>278</v>
      </c>
      <c r="D52" s="275">
        <v>0</v>
      </c>
      <c r="E52" s="264">
        <v>0</v>
      </c>
      <c r="F52" s="286">
        <v>0</v>
      </c>
      <c r="G52" s="276">
        <v>0</v>
      </c>
    </row>
    <row r="53" spans="1:7" s="260" customFormat="1" ht="15" customHeight="1">
      <c r="A53" s="261">
        <v>449</v>
      </c>
      <c r="B53" s="262"/>
      <c r="C53" s="263" t="s">
        <v>279</v>
      </c>
      <c r="D53" s="275">
        <v>0</v>
      </c>
      <c r="E53" s="264">
        <v>0</v>
      </c>
      <c r="F53" s="286">
        <v>0</v>
      </c>
      <c r="G53" s="276">
        <v>0</v>
      </c>
    </row>
    <row r="54" spans="1:7" s="285" customFormat="1" ht="13.5" customHeight="1">
      <c r="A54" s="329" t="s">
        <v>280</v>
      </c>
      <c r="B54" s="330"/>
      <c r="C54" s="330" t="s">
        <v>281</v>
      </c>
      <c r="D54" s="332">
        <v>0</v>
      </c>
      <c r="E54" s="331">
        <v>0</v>
      </c>
      <c r="F54" s="333">
        <v>0</v>
      </c>
      <c r="G54" s="334">
        <v>0</v>
      </c>
    </row>
    <row r="55" spans="1:7" ht="15" customHeight="1">
      <c r="A55" s="335"/>
      <c r="B55" s="335"/>
      <c r="C55" s="310" t="s">
        <v>282</v>
      </c>
      <c r="D55" s="311">
        <f>SUM(D44:D53)-SUM(D38:D43)</f>
        <v>7682.519999999998</v>
      </c>
      <c r="E55" s="311">
        <f>SUM(E44:E53)-SUM(E38:E43)</f>
        <v>7402.300000000001</v>
      </c>
      <c r="F55" s="311">
        <f>SUM(F44:F53)-SUM(F38:F43)</f>
        <v>7345.200000000001</v>
      </c>
      <c r="G55" s="311">
        <f>SUM(G44:G53)-SUM(G38:G43)</f>
        <v>8627.800000000001</v>
      </c>
    </row>
    <row r="56" spans="1:7" ht="14.25" customHeight="1">
      <c r="A56" s="335"/>
      <c r="B56" s="335"/>
      <c r="C56" s="310" t="s">
        <v>283</v>
      </c>
      <c r="D56" s="311">
        <f>D55+D37</f>
        <v>20868.94999999999</v>
      </c>
      <c r="E56" s="311">
        <f>E55+E37</f>
        <v>-6547.499999999987</v>
      </c>
      <c r="F56" s="311">
        <f>F55+F37</f>
        <v>3990.800000000094</v>
      </c>
      <c r="G56" s="311">
        <f>G55+G37</f>
        <v>-3943.2999999999756</v>
      </c>
    </row>
    <row r="57" spans="1:7" s="260" customFormat="1" ht="15.75" customHeight="1">
      <c r="A57" s="336">
        <v>380</v>
      </c>
      <c r="B57" s="337"/>
      <c r="C57" s="338" t="s">
        <v>284</v>
      </c>
      <c r="D57" s="340">
        <v>0</v>
      </c>
      <c r="E57" s="339">
        <v>0</v>
      </c>
      <c r="F57" s="341">
        <v>0</v>
      </c>
      <c r="G57" s="342">
        <v>0</v>
      </c>
    </row>
    <row r="58" spans="1:7" s="260" customFormat="1" ht="15.75" customHeight="1">
      <c r="A58" s="336">
        <v>381</v>
      </c>
      <c r="B58" s="337"/>
      <c r="C58" s="338" t="s">
        <v>285</v>
      </c>
      <c r="D58" s="340">
        <v>0</v>
      </c>
      <c r="E58" s="339"/>
      <c r="F58" s="341">
        <v>0</v>
      </c>
      <c r="G58" s="342">
        <v>0</v>
      </c>
    </row>
    <row r="59" spans="1:7" s="285" customFormat="1" ht="25.5">
      <c r="A59" s="278">
        <v>383</v>
      </c>
      <c r="B59" s="279"/>
      <c r="C59" s="280" t="s">
        <v>286</v>
      </c>
      <c r="D59" s="344">
        <v>9727.1</v>
      </c>
      <c r="E59" s="343">
        <v>0</v>
      </c>
      <c r="F59" s="345">
        <v>4031.6</v>
      </c>
      <c r="G59" s="321">
        <v>0</v>
      </c>
    </row>
    <row r="60" spans="1:7" s="285" customFormat="1" ht="12.75">
      <c r="A60" s="278">
        <v>3840</v>
      </c>
      <c r="B60" s="279"/>
      <c r="C60" s="280" t="s">
        <v>287</v>
      </c>
      <c r="D60" s="346">
        <v>0</v>
      </c>
      <c r="E60" s="346">
        <v>0</v>
      </c>
      <c r="F60" s="508">
        <v>0</v>
      </c>
      <c r="G60" s="482">
        <v>0</v>
      </c>
    </row>
    <row r="61" spans="1:7" s="285" customFormat="1" ht="12.75">
      <c r="A61" s="278">
        <v>3841</v>
      </c>
      <c r="B61" s="279"/>
      <c r="C61" s="280" t="s">
        <v>288</v>
      </c>
      <c r="D61" s="346">
        <v>0</v>
      </c>
      <c r="E61" s="346">
        <v>0</v>
      </c>
      <c r="F61" s="508">
        <v>0</v>
      </c>
      <c r="G61" s="482">
        <v>0</v>
      </c>
    </row>
    <row r="62" spans="1:7" s="285" customFormat="1" ht="12.75">
      <c r="A62" s="349">
        <v>386</v>
      </c>
      <c r="B62" s="350"/>
      <c r="C62" s="351" t="s">
        <v>289</v>
      </c>
      <c r="D62" s="346">
        <v>0</v>
      </c>
      <c r="E62" s="346">
        <v>0</v>
      </c>
      <c r="F62" s="508">
        <v>0</v>
      </c>
      <c r="G62" s="482">
        <v>0</v>
      </c>
    </row>
    <row r="63" spans="1:7" s="285" customFormat="1" ht="25.5">
      <c r="A63" s="278">
        <v>387</v>
      </c>
      <c r="B63" s="279"/>
      <c r="C63" s="280" t="s">
        <v>290</v>
      </c>
      <c r="D63" s="346">
        <v>2666.6</v>
      </c>
      <c r="E63" s="346">
        <v>0</v>
      </c>
      <c r="F63" s="508">
        <v>2482.5</v>
      </c>
      <c r="G63" s="482">
        <v>0</v>
      </c>
    </row>
    <row r="64" spans="1:7" s="285" customFormat="1" ht="12.75">
      <c r="A64" s="274">
        <v>389</v>
      </c>
      <c r="B64" s="352"/>
      <c r="C64" s="263" t="s">
        <v>57</v>
      </c>
      <c r="D64" s="275">
        <v>507.3</v>
      </c>
      <c r="E64" s="275">
        <v>200</v>
      </c>
      <c r="F64" s="266">
        <v>366</v>
      </c>
      <c r="G64" s="276">
        <v>300</v>
      </c>
    </row>
    <row r="65" spans="1:7" s="260" customFormat="1" ht="12.75">
      <c r="A65" s="274" t="s">
        <v>291</v>
      </c>
      <c r="B65" s="262"/>
      <c r="C65" s="263" t="s">
        <v>292</v>
      </c>
      <c r="D65" s="275">
        <v>0</v>
      </c>
      <c r="E65" s="275">
        <v>0</v>
      </c>
      <c r="F65" s="266">
        <v>0</v>
      </c>
      <c r="G65" s="276">
        <v>0</v>
      </c>
    </row>
    <row r="66" spans="1:7" s="355" customFormat="1" ht="25.5">
      <c r="A66" s="492" t="s">
        <v>293</v>
      </c>
      <c r="B66" s="354"/>
      <c r="C66" s="280" t="s">
        <v>294</v>
      </c>
      <c r="D66" s="344">
        <v>0</v>
      </c>
      <c r="E66" s="344">
        <v>0</v>
      </c>
      <c r="F66" s="312">
        <v>0</v>
      </c>
      <c r="G66" s="321">
        <v>0</v>
      </c>
    </row>
    <row r="67" spans="1:7" s="260" customFormat="1" ht="12.75">
      <c r="A67" s="353">
        <v>481</v>
      </c>
      <c r="B67" s="262"/>
      <c r="C67" s="263" t="s">
        <v>295</v>
      </c>
      <c r="D67" s="275">
        <v>0</v>
      </c>
      <c r="E67" s="275">
        <v>0</v>
      </c>
      <c r="F67" s="266">
        <v>0</v>
      </c>
      <c r="G67" s="276">
        <v>0</v>
      </c>
    </row>
    <row r="68" spans="1:7" s="260" customFormat="1" ht="12.75">
      <c r="A68" s="353">
        <v>482</v>
      </c>
      <c r="B68" s="262"/>
      <c r="C68" s="263" t="s">
        <v>296</v>
      </c>
      <c r="D68" s="275">
        <v>0</v>
      </c>
      <c r="E68" s="275">
        <v>0</v>
      </c>
      <c r="F68" s="266">
        <v>0</v>
      </c>
      <c r="G68" s="276">
        <v>0</v>
      </c>
    </row>
    <row r="69" spans="1:7" s="260" customFormat="1" ht="12.75">
      <c r="A69" s="353">
        <v>483</v>
      </c>
      <c r="B69" s="262"/>
      <c r="C69" s="263" t="s">
        <v>297</v>
      </c>
      <c r="D69" s="275">
        <v>0</v>
      </c>
      <c r="E69" s="275">
        <v>0</v>
      </c>
      <c r="F69" s="266">
        <v>0</v>
      </c>
      <c r="G69" s="276">
        <v>0</v>
      </c>
    </row>
    <row r="70" spans="1:7" s="260" customFormat="1" ht="12.75">
      <c r="A70" s="353">
        <v>484</v>
      </c>
      <c r="B70" s="262"/>
      <c r="C70" s="263" t="s">
        <v>298</v>
      </c>
      <c r="D70" s="275">
        <v>0</v>
      </c>
      <c r="E70" s="275">
        <v>0</v>
      </c>
      <c r="F70" s="266">
        <v>0</v>
      </c>
      <c r="G70" s="276">
        <v>0</v>
      </c>
    </row>
    <row r="71" spans="1:7" s="260" customFormat="1" ht="12.75">
      <c r="A71" s="353">
        <v>485</v>
      </c>
      <c r="B71" s="262"/>
      <c r="C71" s="263" t="s">
        <v>299</v>
      </c>
      <c r="D71" s="275">
        <v>0</v>
      </c>
      <c r="E71" s="275">
        <v>0</v>
      </c>
      <c r="F71" s="266">
        <v>0</v>
      </c>
      <c r="G71" s="276">
        <v>0</v>
      </c>
    </row>
    <row r="72" spans="1:7" s="260" customFormat="1" ht="12.75">
      <c r="A72" s="353">
        <v>486</v>
      </c>
      <c r="B72" s="262"/>
      <c r="C72" s="263" t="s">
        <v>300</v>
      </c>
      <c r="D72" s="275">
        <v>0</v>
      </c>
      <c r="E72" s="275">
        <v>0</v>
      </c>
      <c r="F72" s="266">
        <v>0</v>
      </c>
      <c r="G72" s="276">
        <v>0</v>
      </c>
    </row>
    <row r="73" spans="1:7" s="285" customFormat="1" ht="12.75">
      <c r="A73" s="353">
        <v>487</v>
      </c>
      <c r="B73" s="269"/>
      <c r="C73" s="263" t="s">
        <v>301</v>
      </c>
      <c r="D73" s="275">
        <v>0</v>
      </c>
      <c r="E73" s="264">
        <v>0</v>
      </c>
      <c r="F73" s="286">
        <v>0</v>
      </c>
      <c r="G73" s="276">
        <v>0</v>
      </c>
    </row>
    <row r="74" spans="1:7" s="285" customFormat="1" ht="12.75">
      <c r="A74" s="353">
        <v>489</v>
      </c>
      <c r="B74" s="356"/>
      <c r="C74" s="303" t="s">
        <v>74</v>
      </c>
      <c r="D74" s="275">
        <v>134.4</v>
      </c>
      <c r="E74" s="264">
        <v>3587.6</v>
      </c>
      <c r="F74" s="286">
        <v>3595.6</v>
      </c>
      <c r="G74" s="276">
        <v>3584.6</v>
      </c>
    </row>
    <row r="75" spans="1:7" s="285" customFormat="1" ht="12.75">
      <c r="A75" s="357" t="s">
        <v>302</v>
      </c>
      <c r="B75" s="356"/>
      <c r="C75" s="330" t="s">
        <v>303</v>
      </c>
      <c r="D75" s="275">
        <v>0</v>
      </c>
      <c r="E75" s="275">
        <v>0</v>
      </c>
      <c r="F75" s="266">
        <v>0</v>
      </c>
      <c r="G75" s="276">
        <v>0</v>
      </c>
    </row>
    <row r="76" spans="1:7" ht="12.75">
      <c r="A76" s="309"/>
      <c r="B76" s="309"/>
      <c r="C76" s="310" t="s">
        <v>304</v>
      </c>
      <c r="D76" s="311">
        <f>SUM(D65:D74)-SUM(D57:D64)</f>
        <v>-12766.6</v>
      </c>
      <c r="E76" s="311">
        <f>SUM(E65:E74)-SUM(E57:E64)</f>
        <v>3387.6</v>
      </c>
      <c r="F76" s="311">
        <f>SUM(F65:F74)-SUM(F57:F64)</f>
        <v>-3284.5000000000005</v>
      </c>
      <c r="G76" s="311">
        <f>SUM(G65:G74)-SUM(G57:G64)</f>
        <v>3284.6</v>
      </c>
    </row>
    <row r="77" spans="1:7" ht="12.75">
      <c r="A77" s="358"/>
      <c r="B77" s="358"/>
      <c r="C77" s="310" t="s">
        <v>305</v>
      </c>
      <c r="D77" s="311">
        <f>D56+D76</f>
        <v>8102.349999999989</v>
      </c>
      <c r="E77" s="311">
        <f>E56+E76</f>
        <v>-3159.8999999999874</v>
      </c>
      <c r="F77" s="311">
        <f>F56+F76</f>
        <v>706.3000000000934</v>
      </c>
      <c r="G77" s="311">
        <f>G56+G76</f>
        <v>-658.6999999999757</v>
      </c>
    </row>
    <row r="78" spans="1:7" ht="12.75">
      <c r="A78" s="359">
        <v>3</v>
      </c>
      <c r="B78" s="359"/>
      <c r="C78" s="360" t="s">
        <v>306</v>
      </c>
      <c r="D78" s="361">
        <f>D20+D21+SUM(D38:D43)+SUM(D57:D64)</f>
        <v>362583.54</v>
      </c>
      <c r="E78" s="361">
        <f>E20+E21+SUM(E38:E43)+SUM(E57:E64)</f>
        <v>317127.69999999995</v>
      </c>
      <c r="F78" s="361">
        <f>F20+F21+SUM(F38:F43)+SUM(F57:F64)</f>
        <v>328586.0999999999</v>
      </c>
      <c r="G78" s="361">
        <f>G20+G21+SUM(G38:G43)+SUM(G57:G64)</f>
        <v>321986.7</v>
      </c>
    </row>
    <row r="79" spans="1:7" ht="12.75">
      <c r="A79" s="359">
        <v>4</v>
      </c>
      <c r="B79" s="359"/>
      <c r="C79" s="360" t="s">
        <v>307</v>
      </c>
      <c r="D79" s="361">
        <f>D35+D36+SUM(D44:D53)+SUM(D65:D74)</f>
        <v>370685.89</v>
      </c>
      <c r="E79" s="361">
        <f>E35+E36+SUM(E44:E53)+SUM(E65:E74)</f>
        <v>313967.79999999993</v>
      </c>
      <c r="F79" s="361">
        <f>F35+F36+SUM(F44:F53)+SUM(F65:F74)</f>
        <v>329292.4</v>
      </c>
      <c r="G79" s="361">
        <f>G35+G36+SUM(G44:G53)+SUM(G65:G74)</f>
        <v>321328</v>
      </c>
    </row>
    <row r="80" spans="1:7" ht="12.75">
      <c r="A80" s="362"/>
      <c r="B80" s="362"/>
      <c r="C80" s="363"/>
      <c r="D80" s="364"/>
      <c r="E80" s="364"/>
      <c r="F80" s="364"/>
      <c r="G80" s="364"/>
    </row>
    <row r="81" spans="1:7" ht="12.75">
      <c r="A81" s="611" t="s">
        <v>308</v>
      </c>
      <c r="B81" s="612"/>
      <c r="C81" s="612"/>
      <c r="D81" s="366"/>
      <c r="E81" s="365"/>
      <c r="F81" s="366"/>
      <c r="G81" s="365"/>
    </row>
    <row r="82" spans="1:7" s="260" customFormat="1" ht="12.75">
      <c r="A82" s="367">
        <v>50</v>
      </c>
      <c r="B82" s="368"/>
      <c r="C82" s="368" t="s">
        <v>309</v>
      </c>
      <c r="D82" s="275">
        <v>11527.6</v>
      </c>
      <c r="E82" s="275">
        <v>11637.1</v>
      </c>
      <c r="F82" s="266">
        <v>11228.8</v>
      </c>
      <c r="G82" s="276">
        <v>12410</v>
      </c>
    </row>
    <row r="83" spans="1:7" s="260" customFormat="1" ht="12.75">
      <c r="A83" s="367">
        <v>51</v>
      </c>
      <c r="B83" s="368"/>
      <c r="C83" s="368" t="s">
        <v>310</v>
      </c>
      <c r="D83" s="275">
        <v>0</v>
      </c>
      <c r="E83" s="275">
        <v>0</v>
      </c>
      <c r="F83" s="266">
        <v>0</v>
      </c>
      <c r="G83" s="276">
        <v>0</v>
      </c>
    </row>
    <row r="84" spans="1:7" s="260" customFormat="1" ht="12.75">
      <c r="A84" s="367">
        <v>52</v>
      </c>
      <c r="B84" s="368"/>
      <c r="C84" s="368" t="s">
        <v>311</v>
      </c>
      <c r="D84" s="275">
        <v>1277.3</v>
      </c>
      <c r="E84" s="275">
        <v>1165</v>
      </c>
      <c r="F84" s="266">
        <v>1248.6</v>
      </c>
      <c r="G84" s="276">
        <v>900</v>
      </c>
    </row>
    <row r="85" spans="1:7" s="260" customFormat="1" ht="12.75">
      <c r="A85" s="367">
        <v>54</v>
      </c>
      <c r="B85" s="368"/>
      <c r="C85" s="368" t="s">
        <v>312</v>
      </c>
      <c r="D85" s="275">
        <v>70</v>
      </c>
      <c r="E85" s="275">
        <v>900</v>
      </c>
      <c r="F85" s="266">
        <v>10</v>
      </c>
      <c r="G85" s="276">
        <v>150</v>
      </c>
    </row>
    <row r="86" spans="1:7" s="260" customFormat="1" ht="12.75">
      <c r="A86" s="367">
        <v>55</v>
      </c>
      <c r="B86" s="368"/>
      <c r="C86" s="368" t="s">
        <v>313</v>
      </c>
      <c r="D86" s="275">
        <v>40</v>
      </c>
      <c r="E86" s="275">
        <v>0</v>
      </c>
      <c r="F86" s="266">
        <v>0</v>
      </c>
      <c r="G86" s="276">
        <v>0</v>
      </c>
    </row>
    <row r="87" spans="1:7" s="260" customFormat="1" ht="12.75">
      <c r="A87" s="367">
        <v>56</v>
      </c>
      <c r="B87" s="368"/>
      <c r="C87" s="368" t="s">
        <v>314</v>
      </c>
      <c r="D87" s="275">
        <v>13617.8</v>
      </c>
      <c r="E87" s="275">
        <v>13296.7</v>
      </c>
      <c r="F87" s="266">
        <v>8914</v>
      </c>
      <c r="G87" s="276">
        <v>12639.9</v>
      </c>
    </row>
    <row r="88" spans="1:7" s="260" customFormat="1" ht="12.75">
      <c r="A88" s="367">
        <v>57</v>
      </c>
      <c r="B88" s="368"/>
      <c r="C88" s="368" t="s">
        <v>315</v>
      </c>
      <c r="D88" s="275">
        <v>3607.3</v>
      </c>
      <c r="E88" s="275">
        <v>1970</v>
      </c>
      <c r="F88" s="266">
        <v>3940.3</v>
      </c>
      <c r="G88" s="276">
        <v>1475</v>
      </c>
    </row>
    <row r="89" spans="1:7" s="260" customFormat="1" ht="12.75">
      <c r="A89" s="367">
        <v>580</v>
      </c>
      <c r="B89" s="368"/>
      <c r="C89" s="368" t="s">
        <v>316</v>
      </c>
      <c r="D89" s="275">
        <v>0</v>
      </c>
      <c r="E89" s="275">
        <v>0</v>
      </c>
      <c r="F89" s="266">
        <v>0</v>
      </c>
      <c r="G89" s="276">
        <v>0</v>
      </c>
    </row>
    <row r="90" spans="1:7" s="260" customFormat="1" ht="12.75">
      <c r="A90" s="367">
        <v>582</v>
      </c>
      <c r="B90" s="368"/>
      <c r="C90" s="368" t="s">
        <v>317</v>
      </c>
      <c r="D90" s="275">
        <v>0</v>
      </c>
      <c r="E90" s="275">
        <v>0</v>
      </c>
      <c r="F90" s="266">
        <v>0</v>
      </c>
      <c r="G90" s="276">
        <v>0</v>
      </c>
    </row>
    <row r="91" spans="1:7" s="260" customFormat="1" ht="12.75">
      <c r="A91" s="367">
        <v>584</v>
      </c>
      <c r="B91" s="368"/>
      <c r="C91" s="368" t="s">
        <v>318</v>
      </c>
      <c r="D91" s="275">
        <v>0</v>
      </c>
      <c r="E91" s="275">
        <v>0</v>
      </c>
      <c r="F91" s="266">
        <v>0</v>
      </c>
      <c r="G91" s="276">
        <v>0</v>
      </c>
    </row>
    <row r="92" spans="1:7" s="260" customFormat="1" ht="12.75">
      <c r="A92" s="367">
        <v>585</v>
      </c>
      <c r="B92" s="368"/>
      <c r="C92" s="368" t="s">
        <v>319</v>
      </c>
      <c r="D92" s="275">
        <v>0</v>
      </c>
      <c r="E92" s="275">
        <v>0</v>
      </c>
      <c r="F92" s="266">
        <v>0</v>
      </c>
      <c r="G92" s="276">
        <v>0</v>
      </c>
    </row>
    <row r="93" spans="1:7" s="260" customFormat="1" ht="12.75">
      <c r="A93" s="367">
        <v>586</v>
      </c>
      <c r="B93" s="368"/>
      <c r="C93" s="368" t="s">
        <v>320</v>
      </c>
      <c r="D93" s="275">
        <v>0</v>
      </c>
      <c r="E93" s="275">
        <v>0</v>
      </c>
      <c r="F93" s="266">
        <v>0</v>
      </c>
      <c r="G93" s="276">
        <v>0</v>
      </c>
    </row>
    <row r="94" spans="1:7" s="260" customFormat="1" ht="12.75">
      <c r="A94" s="371">
        <v>589</v>
      </c>
      <c r="B94" s="372"/>
      <c r="C94" s="372" t="s">
        <v>321</v>
      </c>
      <c r="D94" s="306">
        <v>0</v>
      </c>
      <c r="E94" s="306">
        <v>0</v>
      </c>
      <c r="F94" s="373">
        <v>0</v>
      </c>
      <c r="G94" s="308">
        <v>0</v>
      </c>
    </row>
    <row r="95" spans="1:7" ht="12.75">
      <c r="A95" s="374">
        <v>5</v>
      </c>
      <c r="B95" s="375"/>
      <c r="C95" s="375" t="s">
        <v>322</v>
      </c>
      <c r="D95" s="376">
        <f>SUM(D82:D94)</f>
        <v>30139.999999999996</v>
      </c>
      <c r="E95" s="376">
        <f>SUM(E82:E94)</f>
        <v>28968.800000000003</v>
      </c>
      <c r="F95" s="376">
        <f>SUM(F82:F94)</f>
        <v>25341.7</v>
      </c>
      <c r="G95" s="376">
        <f>SUM(G82:G94)</f>
        <v>27574.9</v>
      </c>
    </row>
    <row r="96" spans="1:7" s="260" customFormat="1" ht="12.75">
      <c r="A96" s="367">
        <v>60</v>
      </c>
      <c r="B96" s="368"/>
      <c r="C96" s="368" t="s">
        <v>323</v>
      </c>
      <c r="D96" s="275">
        <v>0</v>
      </c>
      <c r="E96" s="275">
        <v>0</v>
      </c>
      <c r="F96" s="266">
        <v>0</v>
      </c>
      <c r="G96" s="276">
        <v>0</v>
      </c>
    </row>
    <row r="97" spans="1:7" s="260" customFormat="1" ht="12.75">
      <c r="A97" s="367">
        <v>61</v>
      </c>
      <c r="B97" s="368"/>
      <c r="C97" s="368" t="s">
        <v>324</v>
      </c>
      <c r="D97" s="275">
        <v>0</v>
      </c>
      <c r="E97" s="275">
        <v>0</v>
      </c>
      <c r="F97" s="266">
        <v>0</v>
      </c>
      <c r="G97" s="276">
        <v>0</v>
      </c>
    </row>
    <row r="98" spans="1:7" s="260" customFormat="1" ht="12.75">
      <c r="A98" s="367">
        <v>62</v>
      </c>
      <c r="B98" s="368"/>
      <c r="C98" s="368" t="s">
        <v>325</v>
      </c>
      <c r="D98" s="275">
        <v>0</v>
      </c>
      <c r="E98" s="275">
        <v>0</v>
      </c>
      <c r="F98" s="266">
        <v>0</v>
      </c>
      <c r="G98" s="276">
        <v>0</v>
      </c>
    </row>
    <row r="99" spans="1:7" s="260" customFormat="1" ht="12.75">
      <c r="A99" s="367">
        <v>63</v>
      </c>
      <c r="B99" s="368"/>
      <c r="C99" s="368" t="s">
        <v>326</v>
      </c>
      <c r="D99" s="275">
        <v>8564.2</v>
      </c>
      <c r="E99" s="275">
        <v>8381.5</v>
      </c>
      <c r="F99" s="266">
        <v>7288.4</v>
      </c>
      <c r="G99" s="276">
        <v>8269.6</v>
      </c>
    </row>
    <row r="100" spans="1:7" s="260" customFormat="1" ht="12.75">
      <c r="A100" s="367">
        <v>64</v>
      </c>
      <c r="B100" s="368"/>
      <c r="C100" s="368" t="s">
        <v>327</v>
      </c>
      <c r="D100" s="275">
        <v>282.8</v>
      </c>
      <c r="E100" s="275">
        <v>600</v>
      </c>
      <c r="F100" s="266">
        <v>475.9</v>
      </c>
      <c r="G100" s="276">
        <v>570</v>
      </c>
    </row>
    <row r="101" spans="1:7" s="260" customFormat="1" ht="12.75">
      <c r="A101" s="367">
        <v>65</v>
      </c>
      <c r="B101" s="368"/>
      <c r="C101" s="368" t="s">
        <v>328</v>
      </c>
      <c r="D101" s="275">
        <v>0</v>
      </c>
      <c r="E101" s="275">
        <v>0</v>
      </c>
      <c r="F101" s="266">
        <v>0</v>
      </c>
      <c r="G101" s="276">
        <v>0</v>
      </c>
    </row>
    <row r="102" spans="1:7" s="260" customFormat="1" ht="12.75">
      <c r="A102" s="367">
        <v>66</v>
      </c>
      <c r="B102" s="368"/>
      <c r="C102" s="368" t="s">
        <v>329</v>
      </c>
      <c r="D102" s="275">
        <v>0</v>
      </c>
      <c r="E102" s="275">
        <v>0</v>
      </c>
      <c r="F102" s="266">
        <v>0</v>
      </c>
      <c r="G102" s="276">
        <v>0</v>
      </c>
    </row>
    <row r="103" spans="1:7" s="260" customFormat="1" ht="12.75">
      <c r="A103" s="367">
        <v>67</v>
      </c>
      <c r="B103" s="368"/>
      <c r="C103" s="368" t="s">
        <v>315</v>
      </c>
      <c r="D103" s="275">
        <v>3607.3</v>
      </c>
      <c r="E103" s="275">
        <v>1970</v>
      </c>
      <c r="F103" s="286">
        <v>3940.4</v>
      </c>
      <c r="G103" s="267">
        <v>1475</v>
      </c>
    </row>
    <row r="104" spans="1:7" s="355" customFormat="1" ht="25.5">
      <c r="A104" s="377" t="s">
        <v>330</v>
      </c>
      <c r="B104" s="549"/>
      <c r="C104" s="378" t="s">
        <v>331</v>
      </c>
      <c r="D104" s="344">
        <v>0</v>
      </c>
      <c r="E104" s="344">
        <v>0</v>
      </c>
      <c r="F104" s="312">
        <v>0</v>
      </c>
      <c r="G104" s="321">
        <v>0</v>
      </c>
    </row>
    <row r="105" spans="1:7" s="355" customFormat="1" ht="38.25">
      <c r="A105" s="381" t="s">
        <v>332</v>
      </c>
      <c r="B105" s="543"/>
      <c r="C105" s="382" t="s">
        <v>333</v>
      </c>
      <c r="D105" s="550">
        <v>0</v>
      </c>
      <c r="E105" s="550">
        <v>0</v>
      </c>
      <c r="F105" s="551">
        <v>0</v>
      </c>
      <c r="G105" s="552">
        <v>0</v>
      </c>
    </row>
    <row r="106" spans="1:7" ht="12.75">
      <c r="A106" s="374">
        <v>6</v>
      </c>
      <c r="B106" s="375"/>
      <c r="C106" s="375" t="s">
        <v>334</v>
      </c>
      <c r="D106" s="376">
        <f>SUM(D96:D105)</f>
        <v>12454.3</v>
      </c>
      <c r="E106" s="376">
        <f>SUM(E96:E105)</f>
        <v>10951.5</v>
      </c>
      <c r="F106" s="376">
        <f>SUM(F96:F105)</f>
        <v>11704.699999999999</v>
      </c>
      <c r="G106" s="376">
        <f>SUM(G96:G105)</f>
        <v>10314.6</v>
      </c>
    </row>
    <row r="107" spans="1:7" ht="12.75">
      <c r="A107" s="386" t="s">
        <v>335</v>
      </c>
      <c r="B107" s="386"/>
      <c r="C107" s="375" t="s">
        <v>3</v>
      </c>
      <c r="D107" s="376">
        <f>(D95-D88)-(D106-D103)</f>
        <v>17685.699999999997</v>
      </c>
      <c r="E107" s="376">
        <f>(E95-E88)-(E106-E103)</f>
        <v>18017.300000000003</v>
      </c>
      <c r="F107" s="376">
        <f>(F95-F88)-(F106-F103)</f>
        <v>13637.100000000002</v>
      </c>
      <c r="G107" s="376">
        <f>(G95-G88)-(G106-G103)</f>
        <v>17260.300000000003</v>
      </c>
    </row>
    <row r="108" spans="1:7" ht="12.75">
      <c r="A108" s="387" t="s">
        <v>336</v>
      </c>
      <c r="B108" s="387"/>
      <c r="C108" s="388" t="s">
        <v>337</v>
      </c>
      <c r="D108" s="376">
        <f>ROUND(D107-D85-D86+D100+D101,0)</f>
        <v>17859</v>
      </c>
      <c r="E108" s="376">
        <f>ROUND(E107-E85-E86+E100+E101,0)</f>
        <v>17717</v>
      </c>
      <c r="F108" s="376">
        <f>ROUND(F107-F85-F86+F100+F101,0)</f>
        <v>14103</v>
      </c>
      <c r="G108" s="376">
        <f>ROUND(G107-G85-G86+G100+G101,0)</f>
        <v>17680</v>
      </c>
    </row>
    <row r="109" spans="1:7" ht="12.75">
      <c r="A109" s="362"/>
      <c r="B109" s="362"/>
      <c r="C109" s="363"/>
      <c r="D109" s="364"/>
      <c r="E109" s="364"/>
      <c r="F109" s="364"/>
      <c r="G109" s="364"/>
    </row>
    <row r="110" spans="1:7" s="250" customFormat="1" ht="12.75">
      <c r="A110" s="390" t="s">
        <v>338</v>
      </c>
      <c r="B110" s="391"/>
      <c r="C110" s="390"/>
      <c r="D110" s="364"/>
      <c r="E110" s="364"/>
      <c r="F110" s="364"/>
      <c r="G110" s="364"/>
    </row>
    <row r="111" spans="1:7" s="396" customFormat="1" ht="12.75">
      <c r="A111" s="392">
        <v>10</v>
      </c>
      <c r="B111" s="393"/>
      <c r="C111" s="393" t="s">
        <v>339</v>
      </c>
      <c r="D111" s="394">
        <f>D112+D117</f>
        <v>373964.75999999995</v>
      </c>
      <c r="E111" s="394">
        <f>E112+E117</f>
        <v>0</v>
      </c>
      <c r="F111" s="394">
        <f>F112+F117</f>
        <v>368619.89999999997</v>
      </c>
      <c r="G111" s="395">
        <f>G112+G117</f>
        <v>0</v>
      </c>
    </row>
    <row r="112" spans="1:7" s="396" customFormat="1" ht="12.75">
      <c r="A112" s="397" t="s">
        <v>340</v>
      </c>
      <c r="B112" s="398"/>
      <c r="C112" s="398" t="s">
        <v>341</v>
      </c>
      <c r="D112" s="394">
        <f>D113+D114+D115+D116</f>
        <v>93650.93</v>
      </c>
      <c r="E112" s="394">
        <f>E113+E114+E115+E116</f>
        <v>0</v>
      </c>
      <c r="F112" s="394">
        <f>F113+F114+F115+F116</f>
        <v>92962.3</v>
      </c>
      <c r="G112" s="395">
        <f>G113+G114+G115+G116</f>
        <v>0</v>
      </c>
    </row>
    <row r="113" spans="1:7" s="396" customFormat="1" ht="12.75">
      <c r="A113" s="410" t="s">
        <v>342</v>
      </c>
      <c r="B113" s="411"/>
      <c r="C113" s="411" t="s">
        <v>343</v>
      </c>
      <c r="D113" s="275">
        <f>46.93+13235+5751.6+0+16453.6+35520.4+15145.7+252.3+59.4</f>
        <v>86464.93</v>
      </c>
      <c r="E113" s="275"/>
      <c r="F113" s="275">
        <v>89762</v>
      </c>
      <c r="G113" s="277"/>
    </row>
    <row r="114" spans="1:7" s="406" customFormat="1" ht="15" customHeight="1">
      <c r="A114" s="414">
        <v>102</v>
      </c>
      <c r="B114" s="494"/>
      <c r="C114" s="494" t="s">
        <v>344</v>
      </c>
      <c r="D114" s="344">
        <v>0</v>
      </c>
      <c r="E114" s="344"/>
      <c r="F114" s="344">
        <v>0</v>
      </c>
      <c r="G114" s="495"/>
    </row>
    <row r="115" spans="1:7" s="396" customFormat="1" ht="12.75">
      <c r="A115" s="410">
        <v>104</v>
      </c>
      <c r="B115" s="411"/>
      <c r="C115" s="411" t="s">
        <v>345</v>
      </c>
      <c r="D115" s="275">
        <f>736.1+5027.5+511+911.4</f>
        <v>7186</v>
      </c>
      <c r="E115" s="275"/>
      <c r="F115" s="275">
        <v>3200.3</v>
      </c>
      <c r="G115" s="277"/>
    </row>
    <row r="116" spans="1:7" s="396" customFormat="1" ht="12.75">
      <c r="A116" s="410">
        <v>106</v>
      </c>
      <c r="B116" s="411"/>
      <c r="C116" s="411" t="s">
        <v>346</v>
      </c>
      <c r="D116" s="275">
        <v>0</v>
      </c>
      <c r="E116" s="275"/>
      <c r="F116" s="275"/>
      <c r="G116" s="277"/>
    </row>
    <row r="117" spans="1:7" s="396" customFormat="1" ht="12.75">
      <c r="A117" s="397" t="s">
        <v>347</v>
      </c>
      <c r="B117" s="398"/>
      <c r="C117" s="398" t="s">
        <v>348</v>
      </c>
      <c r="D117" s="394">
        <f>D118+D119+D120</f>
        <v>280313.82999999996</v>
      </c>
      <c r="E117" s="394">
        <f>E118+E119+E120</f>
        <v>0</v>
      </c>
      <c r="F117" s="394">
        <f>F118+F119+F120</f>
        <v>275657.6</v>
      </c>
      <c r="G117" s="395">
        <f>G118+G119+G120</f>
        <v>0</v>
      </c>
    </row>
    <row r="118" spans="1:7" s="396" customFormat="1" ht="12.75">
      <c r="A118" s="410">
        <v>107</v>
      </c>
      <c r="B118" s="411"/>
      <c r="C118" s="411" t="s">
        <v>349</v>
      </c>
      <c r="D118" s="275">
        <f>261798.95+4615.66</f>
        <v>266414.61</v>
      </c>
      <c r="E118" s="275"/>
      <c r="F118" s="275">
        <v>261808.4</v>
      </c>
      <c r="G118" s="277"/>
    </row>
    <row r="119" spans="1:7" s="396" customFormat="1" ht="12.75">
      <c r="A119" s="410">
        <v>108</v>
      </c>
      <c r="B119" s="411"/>
      <c r="C119" s="411" t="s">
        <v>350</v>
      </c>
      <c r="D119" s="275">
        <f>2494.22+11405</f>
        <v>13899.22</v>
      </c>
      <c r="E119" s="275"/>
      <c r="F119" s="275">
        <v>13849.2</v>
      </c>
      <c r="G119" s="277"/>
    </row>
    <row r="120" spans="1:7" s="409" customFormat="1" ht="25.5">
      <c r="A120" s="414">
        <v>109</v>
      </c>
      <c r="B120" s="415"/>
      <c r="C120" s="415" t="s">
        <v>351</v>
      </c>
      <c r="D120" s="281">
        <v>0</v>
      </c>
      <c r="E120" s="281"/>
      <c r="F120" s="281">
        <v>0</v>
      </c>
      <c r="G120" s="496"/>
    </row>
    <row r="121" spans="1:7" s="396" customFormat="1" ht="12.75">
      <c r="A121" s="397">
        <v>14</v>
      </c>
      <c r="B121" s="398"/>
      <c r="C121" s="398" t="s">
        <v>352</v>
      </c>
      <c r="D121" s="394">
        <f>SUM(D122:D130)</f>
        <v>199271.88</v>
      </c>
      <c r="E121" s="394">
        <f>SUM(E122:E130)</f>
        <v>0</v>
      </c>
      <c r="F121" s="394">
        <f>SUM(F122:F130)</f>
        <v>202299.8</v>
      </c>
      <c r="G121" s="394">
        <f>SUM(G122:G130)</f>
        <v>0</v>
      </c>
    </row>
    <row r="122" spans="1:7" s="396" customFormat="1" ht="12.75">
      <c r="A122" s="410" t="s">
        <v>353</v>
      </c>
      <c r="B122" s="411"/>
      <c r="C122" s="411" t="s">
        <v>354</v>
      </c>
      <c r="D122" s="275">
        <f>-1994.6+0+22697.2+0+0</f>
        <v>20702.600000000002</v>
      </c>
      <c r="E122" s="275"/>
      <c r="F122" s="275">
        <v>19800.5</v>
      </c>
      <c r="G122" s="277"/>
    </row>
    <row r="123" spans="1:7" s="396" customFormat="1" ht="12.75">
      <c r="A123" s="410">
        <v>144</v>
      </c>
      <c r="B123" s="411"/>
      <c r="C123" s="411" t="s">
        <v>312</v>
      </c>
      <c r="D123" s="275">
        <f>1230.7+4748+3721.85+239.3+18496.58</f>
        <v>28436.43</v>
      </c>
      <c r="E123" s="275"/>
      <c r="F123" s="275">
        <v>28583.7</v>
      </c>
      <c r="G123" s="277"/>
    </row>
    <row r="124" spans="1:7" s="396" customFormat="1" ht="12.75">
      <c r="A124" s="410">
        <v>145</v>
      </c>
      <c r="B124" s="411"/>
      <c r="C124" s="411" t="s">
        <v>355</v>
      </c>
      <c r="D124" s="275">
        <f>386.1+2232.5+76959.95+166.3</f>
        <v>79744.85</v>
      </c>
      <c r="E124" s="412"/>
      <c r="F124" s="275">
        <v>91484.3</v>
      </c>
      <c r="G124" s="413"/>
    </row>
    <row r="125" spans="1:7" s="396" customFormat="1" ht="12.75">
      <c r="A125" s="410">
        <v>146</v>
      </c>
      <c r="B125" s="411"/>
      <c r="C125" s="411" t="s">
        <v>356</v>
      </c>
      <c r="D125" s="275">
        <f>13438.4+28065.1+29340.4-455.9</f>
        <v>70388</v>
      </c>
      <c r="E125" s="412"/>
      <c r="F125" s="275">
        <v>68945.4</v>
      </c>
      <c r="G125" s="413"/>
    </row>
    <row r="126" spans="1:7" s="409" customFormat="1" ht="29.25" customHeight="1">
      <c r="A126" s="414" t="s">
        <v>357</v>
      </c>
      <c r="B126" s="415"/>
      <c r="C126" s="415" t="s">
        <v>358</v>
      </c>
      <c r="D126" s="281">
        <v>0</v>
      </c>
      <c r="E126" s="416"/>
      <c r="F126" s="281">
        <v>-1743.9</v>
      </c>
      <c r="G126" s="417"/>
    </row>
    <row r="127" spans="1:7" s="396" customFormat="1" ht="12.75">
      <c r="A127" s="410">
        <v>1484</v>
      </c>
      <c r="B127" s="411"/>
      <c r="C127" s="411" t="s">
        <v>359</v>
      </c>
      <c r="D127" s="275">
        <v>0</v>
      </c>
      <c r="E127" s="412"/>
      <c r="F127" s="275">
        <v>0</v>
      </c>
      <c r="G127" s="413"/>
    </row>
    <row r="128" spans="1:7" s="396" customFormat="1" ht="12.75">
      <c r="A128" s="410">
        <v>1485</v>
      </c>
      <c r="B128" s="411"/>
      <c r="C128" s="411" t="s">
        <v>360</v>
      </c>
      <c r="D128" s="275">
        <v>0</v>
      </c>
      <c r="E128" s="412"/>
      <c r="F128" s="275">
        <v>0</v>
      </c>
      <c r="G128" s="413"/>
    </row>
    <row r="129" spans="1:7" s="396" customFormat="1" ht="12.75">
      <c r="A129" s="410">
        <v>1486</v>
      </c>
      <c r="B129" s="411"/>
      <c r="C129" s="411" t="s">
        <v>361</v>
      </c>
      <c r="D129" s="275">
        <v>0</v>
      </c>
      <c r="E129" s="412"/>
      <c r="F129" s="275">
        <v>-4770.2</v>
      </c>
      <c r="G129" s="413"/>
    </row>
    <row r="130" spans="1:7" s="396" customFormat="1" ht="12.75">
      <c r="A130" s="418">
        <v>1489</v>
      </c>
      <c r="B130" s="419"/>
      <c r="C130" s="419" t="s">
        <v>362</v>
      </c>
      <c r="D130" s="306">
        <v>0</v>
      </c>
      <c r="E130" s="420"/>
      <c r="F130" s="306"/>
      <c r="G130" s="421"/>
    </row>
    <row r="131" spans="1:7" s="250" customFormat="1" ht="12.75">
      <c r="A131" s="422">
        <v>1</v>
      </c>
      <c r="B131" s="423"/>
      <c r="C131" s="422" t="s">
        <v>363</v>
      </c>
      <c r="D131" s="424">
        <f>D111+D121</f>
        <v>573236.6399999999</v>
      </c>
      <c r="E131" s="424">
        <f>E111+E121</f>
        <v>0</v>
      </c>
      <c r="F131" s="424">
        <f>F111+F121</f>
        <v>570919.7</v>
      </c>
      <c r="G131" s="424">
        <f>G111+G121</f>
        <v>0</v>
      </c>
    </row>
    <row r="132" spans="1:7" s="250" customFormat="1" ht="12.75">
      <c r="A132" s="362"/>
      <c r="B132" s="362"/>
      <c r="C132" s="363"/>
      <c r="D132" s="364"/>
      <c r="E132" s="364"/>
      <c r="F132" s="364"/>
      <c r="G132" s="364"/>
    </row>
    <row r="133" spans="1:7" s="396" customFormat="1" ht="12.75">
      <c r="A133" s="392">
        <v>20</v>
      </c>
      <c r="B133" s="393"/>
      <c r="C133" s="393" t="s">
        <v>364</v>
      </c>
      <c r="D133" s="425">
        <f>D134+D140</f>
        <v>194722.06</v>
      </c>
      <c r="E133" s="425">
        <f>E134+E140</f>
        <v>0</v>
      </c>
      <c r="F133" s="425">
        <f>F134+F140</f>
        <v>189156.6</v>
      </c>
      <c r="G133" s="426">
        <f>G134+G140</f>
        <v>0</v>
      </c>
    </row>
    <row r="134" spans="1:7" s="396" customFormat="1" ht="12.75">
      <c r="A134" s="427" t="s">
        <v>365</v>
      </c>
      <c r="B134" s="398"/>
      <c r="C134" s="398" t="s">
        <v>366</v>
      </c>
      <c r="D134" s="394">
        <f>D135+D136+D138+D139</f>
        <v>90720.8</v>
      </c>
      <c r="E134" s="394">
        <f>E135+E136+E138+E139</f>
        <v>0</v>
      </c>
      <c r="F134" s="394">
        <f>F135+F136+F138+F139</f>
        <v>106117.1</v>
      </c>
      <c r="G134" s="395">
        <f>G135+G136+G138+G139</f>
        <v>0</v>
      </c>
    </row>
    <row r="135" spans="1:7" s="429" customFormat="1" ht="12.75">
      <c r="A135" s="428">
        <v>200</v>
      </c>
      <c r="B135" s="411"/>
      <c r="C135" s="411" t="s">
        <v>367</v>
      </c>
      <c r="D135" s="275">
        <f>51392.9+1369.5+5872.4+170.3</f>
        <v>58805.100000000006</v>
      </c>
      <c r="E135" s="275"/>
      <c r="F135" s="275">
        <v>76604.8</v>
      </c>
      <c r="G135" s="277"/>
    </row>
    <row r="136" spans="1:7" s="429" customFormat="1" ht="12.75">
      <c r="A136" s="428">
        <v>201</v>
      </c>
      <c r="B136" s="411"/>
      <c r="C136" s="411" t="s">
        <v>368</v>
      </c>
      <c r="D136" s="275">
        <v>20425</v>
      </c>
      <c r="E136" s="275"/>
      <c r="F136" s="275">
        <v>22525</v>
      </c>
      <c r="G136" s="277"/>
    </row>
    <row r="137" spans="1:7" s="429" customFormat="1" ht="12.75">
      <c r="A137" s="430" t="s">
        <v>667</v>
      </c>
      <c r="B137" s="400"/>
      <c r="C137" s="400" t="s">
        <v>370</v>
      </c>
      <c r="D137" s="271">
        <v>0</v>
      </c>
      <c r="E137" s="431"/>
      <c r="F137" s="271">
        <v>0</v>
      </c>
      <c r="G137" s="432"/>
    </row>
    <row r="138" spans="1:7" s="429" customFormat="1" ht="12.75">
      <c r="A138" s="428">
        <v>204</v>
      </c>
      <c r="B138" s="411"/>
      <c r="C138" s="411" t="s">
        <v>371</v>
      </c>
      <c r="D138" s="275">
        <f>276.3+0+6314.65+1005.65+128.4+2769.8+3.2</f>
        <v>10498</v>
      </c>
      <c r="E138" s="412"/>
      <c r="F138" s="275">
        <v>6031.2</v>
      </c>
      <c r="G138" s="413"/>
    </row>
    <row r="139" spans="1:7" s="429" customFormat="1" ht="12.75">
      <c r="A139" s="428">
        <v>205</v>
      </c>
      <c r="B139" s="411"/>
      <c r="C139" s="411" t="s">
        <v>372</v>
      </c>
      <c r="D139" s="275">
        <v>992.7</v>
      </c>
      <c r="E139" s="412"/>
      <c r="F139" s="275">
        <v>956.1</v>
      </c>
      <c r="G139" s="413"/>
    </row>
    <row r="140" spans="1:7" s="429" customFormat="1" ht="12.75">
      <c r="A140" s="427" t="s">
        <v>373</v>
      </c>
      <c r="B140" s="398"/>
      <c r="C140" s="398" t="s">
        <v>374</v>
      </c>
      <c r="D140" s="394">
        <f>D141+D143+D144</f>
        <v>104001.26</v>
      </c>
      <c r="E140" s="394">
        <f>E141+E143+E144</f>
        <v>0</v>
      </c>
      <c r="F140" s="394">
        <f>F141+F143+F144</f>
        <v>83039.5</v>
      </c>
      <c r="G140" s="395">
        <f>G141+G143+G144</f>
        <v>0</v>
      </c>
    </row>
    <row r="141" spans="1:7" s="429" customFormat="1" ht="12.75">
      <c r="A141" s="428">
        <v>206</v>
      </c>
      <c r="B141" s="411"/>
      <c r="C141" s="411" t="s">
        <v>375</v>
      </c>
      <c r="D141" s="275">
        <v>82935.2</v>
      </c>
      <c r="E141" s="412"/>
      <c r="F141" s="275">
        <v>61525.6</v>
      </c>
      <c r="G141" s="413"/>
    </row>
    <row r="142" spans="1:7" s="429" customFormat="1" ht="12.75">
      <c r="A142" s="430" t="s">
        <v>376</v>
      </c>
      <c r="B142" s="400"/>
      <c r="C142" s="400" t="s">
        <v>377</v>
      </c>
      <c r="D142" s="271">
        <v>0</v>
      </c>
      <c r="E142" s="431"/>
      <c r="F142" s="271">
        <v>0</v>
      </c>
      <c r="G142" s="432"/>
    </row>
    <row r="143" spans="1:7" s="429" customFormat="1" ht="12.75">
      <c r="A143" s="428">
        <v>208</v>
      </c>
      <c r="B143" s="411"/>
      <c r="C143" s="411" t="s">
        <v>378</v>
      </c>
      <c r="D143" s="275">
        <v>0</v>
      </c>
      <c r="E143" s="412"/>
      <c r="F143" s="275">
        <v>0</v>
      </c>
      <c r="G143" s="413"/>
    </row>
    <row r="144" spans="1:7" s="433" customFormat="1" ht="25.5">
      <c r="A144" s="414">
        <v>209</v>
      </c>
      <c r="B144" s="415"/>
      <c r="C144" s="415" t="s">
        <v>379</v>
      </c>
      <c r="D144" s="281">
        <f>10145.92+10920.14</f>
        <v>21066.059999999998</v>
      </c>
      <c r="E144" s="416"/>
      <c r="F144" s="281">
        <v>21513.9</v>
      </c>
      <c r="G144" s="417"/>
    </row>
    <row r="145" spans="1:7" s="396" customFormat="1" ht="12.75">
      <c r="A145" s="427">
        <v>29</v>
      </c>
      <c r="B145" s="398"/>
      <c r="C145" s="398" t="s">
        <v>380</v>
      </c>
      <c r="D145" s="412">
        <v>378514.9</v>
      </c>
      <c r="E145" s="412"/>
      <c r="F145" s="412">
        <v>381762.9</v>
      </c>
      <c r="G145" s="413"/>
    </row>
    <row r="146" spans="1:7" s="396" customFormat="1" ht="12.75">
      <c r="A146" s="434" t="s">
        <v>381</v>
      </c>
      <c r="B146" s="435"/>
      <c r="C146" s="435" t="s">
        <v>382</v>
      </c>
      <c r="D146" s="332">
        <v>51349.5</v>
      </c>
      <c r="E146" s="332"/>
      <c r="F146" s="332"/>
      <c r="G146" s="436"/>
    </row>
    <row r="147" spans="1:7" s="250" customFormat="1" ht="12.75">
      <c r="A147" s="422">
        <v>2</v>
      </c>
      <c r="B147" s="423"/>
      <c r="C147" s="422" t="s">
        <v>383</v>
      </c>
      <c r="D147" s="424">
        <f>D133+D145</f>
        <v>573236.96</v>
      </c>
      <c r="E147" s="424">
        <f>E133+E145</f>
        <v>0</v>
      </c>
      <c r="F147" s="424">
        <f>F133+F145</f>
        <v>570919.5</v>
      </c>
      <c r="G147" s="424">
        <f>G133+G145</f>
        <v>0</v>
      </c>
    </row>
    <row r="148" spans="4:6" ht="7.5" customHeight="1">
      <c r="D148" s="250"/>
      <c r="F148" s="250"/>
    </row>
    <row r="149" spans="1:7" ht="13.5" customHeight="1">
      <c r="A149" s="437" t="s">
        <v>384</v>
      </c>
      <c r="B149" s="438"/>
      <c r="C149" s="439" t="s">
        <v>385</v>
      </c>
      <c r="D149" s="438"/>
      <c r="E149" s="438"/>
      <c r="F149" s="438"/>
      <c r="G149" s="438"/>
    </row>
    <row r="150" spans="1:7" ht="12.75">
      <c r="A150" s="509" t="s">
        <v>386</v>
      </c>
      <c r="B150" s="509"/>
      <c r="C150" s="509" t="s">
        <v>97</v>
      </c>
      <c r="D150" s="442">
        <f>D77+SUM(D8:D12)-D30-D31+D16-D33+D59+D63-D73+D64-D74-D54+D20-D35</f>
        <v>23246.899999999987</v>
      </c>
      <c r="E150" s="442">
        <f>E77+SUM(E8:E12)-E30-E31+E16-E33+E59+E63-E73+E64-E74-E54+E20-E35</f>
        <v>15325.600000000011</v>
      </c>
      <c r="F150" s="442">
        <f>F77+SUM(F8:F12)-F30-F31+F16-F33+F59+F63-F73+F64-F74-F54+F20-F35</f>
        <v>20314.900000000096</v>
      </c>
      <c r="G150" s="442">
        <f>G77+SUM(G8:G12)-G30-G31+G16-G33+G59+G63-G73+G64-G74-G54+G20-G35</f>
        <v>11495.700000000024</v>
      </c>
    </row>
    <row r="151" spans="1:7" ht="12.75">
      <c r="A151" s="510" t="s">
        <v>387</v>
      </c>
      <c r="B151" s="510"/>
      <c r="C151" s="510" t="s">
        <v>388</v>
      </c>
      <c r="D151" s="445">
        <f>IF(D177=0,0,D150/D177)</f>
        <v>0.07013892285255531</v>
      </c>
      <c r="E151" s="445">
        <f>IF(E177=0,0,E150/E177)</f>
        <v>0.05596755068197402</v>
      </c>
      <c r="F151" s="445">
        <f>IF(F177=0,0,F150/F177)</f>
        <v>0.07021815954584576</v>
      </c>
      <c r="G151" s="445">
        <f>IF(G177=0,0,G150/G177)</f>
        <v>0.04094668528359961</v>
      </c>
    </row>
    <row r="152" spans="1:7" s="449" customFormat="1" ht="25.5">
      <c r="A152" s="511" t="s">
        <v>389</v>
      </c>
      <c r="B152" s="511"/>
      <c r="C152" s="511" t="s">
        <v>390</v>
      </c>
      <c r="D152" s="448">
        <f>IF(IF(D107=0,0,D$150/D107)&lt;0,"negativ",(IF(D107=0,0,D$150/D107)))</f>
        <v>1.314446134447604</v>
      </c>
      <c r="E152" s="448">
        <f>IF(IF(E107=0,0,E$150/E107)&lt;0,"negativ",(IF(E107=0,0,E$150/E107)))</f>
        <v>0.8506046965971599</v>
      </c>
      <c r="F152" s="448">
        <f>IF(IF(F107=0,0,F$150/F107)&lt;0,"negativ",(IF(F107=0,0,F$150/F107)))</f>
        <v>1.4896788906732439</v>
      </c>
      <c r="G152" s="448">
        <f>IF(IF(G107=0,0,G$150/G107)&lt;0,"negativ",(IF(G107=0,0,G$150/G107)))</f>
        <v>0.6660197099702799</v>
      </c>
    </row>
    <row r="153" spans="1:7" s="449" customFormat="1" ht="25.5">
      <c r="A153" s="512" t="s">
        <v>389</v>
      </c>
      <c r="B153" s="512"/>
      <c r="C153" s="512" t="s">
        <v>391</v>
      </c>
      <c r="D153" s="452">
        <f>IF(IF(D108=0,0,D$150/D108)&lt;0,"negativ",(IF(D108=0,0,D$150/D108)))</f>
        <v>1.3016910241334894</v>
      </c>
      <c r="E153" s="452">
        <f>IF(IF(E108=0,0,E$150/E108)&lt;0,"negativ",(IF(E108=0,0,E$150/E108)))</f>
        <v>0.8650222949709325</v>
      </c>
      <c r="F153" s="452">
        <f>IF(IF(F108=0,0,F$150/F108)&lt;0,"negativ",(IF(F108=0,0,F$150/F108)))</f>
        <v>1.4404665673970145</v>
      </c>
      <c r="G153" s="452">
        <f>IF(IF(G108=0,0,G$150/G108)&lt;0,"negativ",(IF(G108=0,0,G$150/G108)))</f>
        <v>0.650209276018101</v>
      </c>
    </row>
    <row r="154" spans="1:7" s="449" customFormat="1" ht="25.5">
      <c r="A154" s="513" t="s">
        <v>392</v>
      </c>
      <c r="B154" s="513"/>
      <c r="C154" s="513" t="s">
        <v>393</v>
      </c>
      <c r="D154" s="455">
        <f>D150-D107</f>
        <v>5561.19999999999</v>
      </c>
      <c r="E154" s="455">
        <f>E150-E107</f>
        <v>-2691.6999999999916</v>
      </c>
      <c r="F154" s="455">
        <f>F150-F107</f>
        <v>6677.800000000094</v>
      </c>
      <c r="G154" s="455">
        <f>G150-G107</f>
        <v>-5764.5999999999785</v>
      </c>
    </row>
    <row r="155" spans="1:7" ht="25.5">
      <c r="A155" s="512" t="s">
        <v>394</v>
      </c>
      <c r="B155" s="512"/>
      <c r="C155" s="512" t="s">
        <v>395</v>
      </c>
      <c r="D155" s="456">
        <f>D150-D108</f>
        <v>5387.899999999987</v>
      </c>
      <c r="E155" s="456">
        <f>E150-E108</f>
        <v>-2391.3999999999887</v>
      </c>
      <c r="F155" s="456">
        <f>F150-F108</f>
        <v>6211.900000000096</v>
      </c>
      <c r="G155" s="456">
        <f>G150-G108</f>
        <v>-6184.299999999976</v>
      </c>
    </row>
    <row r="156" spans="1:7" ht="12.75">
      <c r="A156" s="509" t="s">
        <v>396</v>
      </c>
      <c r="B156" s="509"/>
      <c r="C156" s="509" t="s">
        <v>397</v>
      </c>
      <c r="D156" s="457">
        <f>D135+D136-D137+D141-D142</f>
        <v>162165.3</v>
      </c>
      <c r="E156" s="457">
        <f>E135+E136-E137+E141-E142</f>
        <v>0</v>
      </c>
      <c r="F156" s="457">
        <f>F135+F136-F137+F141-F142</f>
        <v>160655.4</v>
      </c>
      <c r="G156" s="457">
        <f>G135+G136-G137+G141-G142</f>
        <v>0</v>
      </c>
    </row>
    <row r="157" spans="1:7" ht="12.75">
      <c r="A157" s="514" t="s">
        <v>398</v>
      </c>
      <c r="B157" s="514"/>
      <c r="C157" s="514" t="s">
        <v>399</v>
      </c>
      <c r="D157" s="460">
        <f>IF(D177=0,0,D156/D177)</f>
        <v>0.48927381569419975</v>
      </c>
      <c r="E157" s="460">
        <f>IF(E177=0,0,E156/E177)</f>
        <v>0</v>
      </c>
      <c r="F157" s="460">
        <f>IF(F177=0,0,F156/F177)</f>
        <v>0.5553030784843447</v>
      </c>
      <c r="G157" s="460">
        <f>IF(G177=0,0,G156/G177)</f>
        <v>0</v>
      </c>
    </row>
    <row r="158" spans="1:7" ht="12.75">
      <c r="A158" s="509" t="s">
        <v>400</v>
      </c>
      <c r="B158" s="509"/>
      <c r="C158" s="509" t="s">
        <v>401</v>
      </c>
      <c r="D158" s="457">
        <f>D133-D142-D111</f>
        <v>-179242.69999999995</v>
      </c>
      <c r="E158" s="457">
        <f>E133-E142-E111</f>
        <v>0</v>
      </c>
      <c r="F158" s="457">
        <f>F133-F142-F111</f>
        <v>-179463.29999999996</v>
      </c>
      <c r="G158" s="457">
        <f>G133-G142-G111</f>
        <v>0</v>
      </c>
    </row>
    <row r="159" spans="1:7" ht="12.75">
      <c r="A159" s="510" t="s">
        <v>402</v>
      </c>
      <c r="B159" s="510"/>
      <c r="C159" s="510" t="s">
        <v>403</v>
      </c>
      <c r="D159" s="461">
        <f>D121-D123-D124-D142-D145</f>
        <v>-287424.30000000005</v>
      </c>
      <c r="E159" s="461">
        <f>E121-E123-E124-E142-E145</f>
        <v>0</v>
      </c>
      <c r="F159" s="461">
        <f>F121-F123-F124-F142-F145</f>
        <v>-299531.10000000003</v>
      </c>
      <c r="G159" s="461">
        <f>G121-G123-G124-G142-G145</f>
        <v>0</v>
      </c>
    </row>
    <row r="160" spans="1:7" ht="12.75">
      <c r="A160" s="510" t="s">
        <v>404</v>
      </c>
      <c r="B160" s="510"/>
      <c r="C160" s="510" t="s">
        <v>405</v>
      </c>
      <c r="D160" s="462">
        <f>IF(D175=0,"-",1000*D158/D175)</f>
        <v>-4643.954193331087</v>
      </c>
      <c r="E160" s="462">
        <f>IF(E175=0,"-",1000*E158/E175)</f>
        <v>0</v>
      </c>
      <c r="F160" s="462">
        <f>IF(F175=0,"-",1000*F158/F175)</f>
        <v>-4649.669663445345</v>
      </c>
      <c r="G160" s="462">
        <f>IF(G175=0,"-",1000*G158/G175)</f>
        <v>0</v>
      </c>
    </row>
    <row r="161" spans="1:7" ht="12.75">
      <c r="A161" s="510" t="s">
        <v>404</v>
      </c>
      <c r="B161" s="510"/>
      <c r="C161" s="510" t="s">
        <v>406</v>
      </c>
      <c r="D161" s="461">
        <f>IF(D175=0,0,1000*(D159/D175))</f>
        <v>-7446.804155763402</v>
      </c>
      <c r="E161" s="461">
        <f>IF(E175=0,0,1000*(E159/E175))</f>
        <v>0</v>
      </c>
      <c r="F161" s="461">
        <f>IF(F175=0,0,1000*(F159/F175))</f>
        <v>-7760.476202813691</v>
      </c>
      <c r="G161" s="461">
        <f>IF(G175=0,0,1000*(G159/G175))</f>
        <v>0</v>
      </c>
    </row>
    <row r="162" spans="1:7" ht="12.75">
      <c r="A162" s="514" t="s">
        <v>407</v>
      </c>
      <c r="B162" s="514"/>
      <c r="C162" s="514" t="s">
        <v>408</v>
      </c>
      <c r="D162" s="460">
        <f>IF((D22+D23+D65+D66)=0,0,D158/(D22+D23+D65+D66))</f>
        <v>-1.6283540462952866</v>
      </c>
      <c r="E162" s="460">
        <f>IF((E22+E23+E65+E66)=0,0,E158/(E22+E23+E65+E66))</f>
        <v>0</v>
      </c>
      <c r="F162" s="460">
        <f>IF((F22+F23+F65+F66)=0,0,F158/(F22+F23+F65+F66))</f>
        <v>-1.882696110572005</v>
      </c>
      <c r="G162" s="460">
        <f>IF((G22+G23+G65+G66)=0,0,G158/(G22+G23+G65+G66))</f>
        <v>0</v>
      </c>
    </row>
    <row r="163" spans="1:7" ht="12.75">
      <c r="A163" s="510" t="s">
        <v>409</v>
      </c>
      <c r="B163" s="510"/>
      <c r="C163" s="510" t="s">
        <v>380</v>
      </c>
      <c r="D163" s="442">
        <f>D145</f>
        <v>378514.9</v>
      </c>
      <c r="E163" s="442">
        <f>E145</f>
        <v>0</v>
      </c>
      <c r="F163" s="442">
        <f>F145</f>
        <v>381762.9</v>
      </c>
      <c r="G163" s="442">
        <f>G145</f>
        <v>0</v>
      </c>
    </row>
    <row r="164" spans="1:7" ht="25.5">
      <c r="A164" s="512" t="s">
        <v>411</v>
      </c>
      <c r="B164" s="514"/>
      <c r="C164" s="514" t="s">
        <v>412</v>
      </c>
      <c r="D164" s="452">
        <f>IF(D178=0,0,D146/D178)</f>
        <v>0.1653385574171824</v>
      </c>
      <c r="E164" s="452">
        <f>IF(E178=0,0,E146/E178)</f>
        <v>0</v>
      </c>
      <c r="F164" s="452">
        <f>IF(F178=0,0,F146/F178)</f>
        <v>0</v>
      </c>
      <c r="G164" s="452">
        <f>IF(G178=0,0,G146/G178)</f>
        <v>0</v>
      </c>
    </row>
    <row r="165" spans="1:7" ht="12.75">
      <c r="A165" s="515" t="s">
        <v>681</v>
      </c>
      <c r="B165" s="515"/>
      <c r="C165" s="515" t="s">
        <v>414</v>
      </c>
      <c r="D165" s="465">
        <f>IF(D177=0,0,D180/D177)</f>
        <v>0.03058042433461493</v>
      </c>
      <c r="E165" s="465">
        <f>IF(E177=0,0,E180/E177)</f>
        <v>0.05698898696673595</v>
      </c>
      <c r="F165" s="465">
        <f>IF(F177=0,0,F180/F177)</f>
        <v>0.031122542093081774</v>
      </c>
      <c r="G165" s="465">
        <f>IF(G177=0,0,G180/G177)</f>
        <v>0.03548698476925927</v>
      </c>
    </row>
    <row r="166" spans="1:7" ht="12.75">
      <c r="A166" s="510" t="s">
        <v>415</v>
      </c>
      <c r="B166" s="510"/>
      <c r="C166" s="510" t="s">
        <v>282</v>
      </c>
      <c r="D166" s="442">
        <f>D55</f>
        <v>7682.519999999998</v>
      </c>
      <c r="E166" s="442">
        <f>E55</f>
        <v>7402.300000000001</v>
      </c>
      <c r="F166" s="442">
        <f>F55</f>
        <v>7345.200000000001</v>
      </c>
      <c r="G166" s="442">
        <f>G55</f>
        <v>8627.800000000001</v>
      </c>
    </row>
    <row r="167" spans="1:7" ht="12.75">
      <c r="A167" s="514" t="s">
        <v>416</v>
      </c>
      <c r="B167" s="514"/>
      <c r="C167" s="514" t="s">
        <v>417</v>
      </c>
      <c r="D167" s="460">
        <f>IF(0=D111,0,(D44+D45+D46+D47+D48)/D111)</f>
        <v>0.028374063909123417</v>
      </c>
      <c r="E167" s="460">
        <f>IF(0=E111,0,(E44+E45+E46+E47+E48)/E111)</f>
        <v>0</v>
      </c>
      <c r="F167" s="460">
        <f>IF(0=F111,0,(F44+F45+F46+F47+F48)/F111)</f>
        <v>0.05905080002463242</v>
      </c>
      <c r="G167" s="460">
        <f>IF(0=G111,0,(G44+G45+G46+G47+G48)/G111)</f>
        <v>0</v>
      </c>
    </row>
    <row r="168" spans="1:7" ht="12.75">
      <c r="A168" s="510" t="s">
        <v>418</v>
      </c>
      <c r="B168" s="509"/>
      <c r="C168" s="509" t="s">
        <v>419</v>
      </c>
      <c r="D168" s="442">
        <f>D38-D44</f>
        <v>-3864.8</v>
      </c>
      <c r="E168" s="442">
        <f>E38-E44</f>
        <v>-4053.6000000000004</v>
      </c>
      <c r="F168" s="442">
        <f>F38-F44</f>
        <v>-4033.0999999999995</v>
      </c>
      <c r="G168" s="442">
        <f>G38-G44</f>
        <v>-4802.1</v>
      </c>
    </row>
    <row r="169" spans="1:7" ht="12.75">
      <c r="A169" s="514" t="s">
        <v>420</v>
      </c>
      <c r="B169" s="514"/>
      <c r="C169" s="514" t="s">
        <v>421</v>
      </c>
      <c r="D169" s="445">
        <f>IF(D177=0,0,D168/D177)</f>
        <v>-0.011660604598486505</v>
      </c>
      <c r="E169" s="445">
        <f>IF(E177=0,0,E168/E177)</f>
        <v>-0.014803339735113125</v>
      </c>
      <c r="F169" s="445">
        <f>IF(F177=0,0,F168/F177)</f>
        <v>-0.013940352119102193</v>
      </c>
      <c r="G169" s="445">
        <f>IF(G177=0,0,G168/G177)</f>
        <v>-0.017104663256728454</v>
      </c>
    </row>
    <row r="170" spans="1:7" ht="12.75">
      <c r="A170" s="510" t="s">
        <v>422</v>
      </c>
      <c r="B170" s="510"/>
      <c r="C170" s="510" t="s">
        <v>423</v>
      </c>
      <c r="D170" s="442">
        <f>SUM(D82:D87)+SUM(D89:D94)</f>
        <v>26532.699999999997</v>
      </c>
      <c r="E170" s="442">
        <f>SUM(E82:E87)+SUM(E89:E94)</f>
        <v>26998.800000000003</v>
      </c>
      <c r="F170" s="442">
        <f>SUM(F82:F87)+SUM(F89:F94)</f>
        <v>21401.4</v>
      </c>
      <c r="G170" s="442">
        <f>SUM(G82:G87)+SUM(G89:G94)</f>
        <v>26099.9</v>
      </c>
    </row>
    <row r="171" spans="1:7" ht="12.75">
      <c r="A171" s="510" t="s">
        <v>424</v>
      </c>
      <c r="B171" s="510"/>
      <c r="C171" s="510" t="s">
        <v>425</v>
      </c>
      <c r="D171" s="461">
        <f>SUM(D96:D102)+SUM(D104:D105)</f>
        <v>8847</v>
      </c>
      <c r="E171" s="461">
        <f>SUM(E96:E102)+SUM(E104:E105)</f>
        <v>8981.5</v>
      </c>
      <c r="F171" s="461">
        <f>SUM(F96:F102)+SUM(F104:F105)</f>
        <v>7764.299999999999</v>
      </c>
      <c r="G171" s="461">
        <f>SUM(G96:G102)+SUM(G104:G105)</f>
        <v>8839.6</v>
      </c>
    </row>
    <row r="172" spans="1:7" ht="12.75">
      <c r="A172" s="515" t="s">
        <v>413</v>
      </c>
      <c r="B172" s="515"/>
      <c r="C172" s="515" t="s">
        <v>426</v>
      </c>
      <c r="D172" s="465">
        <f>IF(D184=0,0,D170/D184)</f>
        <v>0.08362889393461927</v>
      </c>
      <c r="E172" s="465">
        <f>IF(E184=0,0,E170/E184)</f>
        <v>0.09505836490937014</v>
      </c>
      <c r="F172" s="465">
        <f>IF(F184=0,0,F170/F184)</f>
        <v>0.07733848696787195</v>
      </c>
      <c r="G172" s="465">
        <f>IF(G184=0,0,G170/G184)</f>
        <v>0.08927291210039101</v>
      </c>
    </row>
    <row r="174" spans="1:7" ht="12.75">
      <c r="A174" s="467" t="s">
        <v>427</v>
      </c>
      <c r="B174" s="468"/>
      <c r="C174" s="467"/>
      <c r="D174" s="364"/>
      <c r="E174" s="364"/>
      <c r="F174" s="364"/>
      <c r="G174" s="364"/>
    </row>
    <row r="175" spans="1:7" s="260" customFormat="1" ht="12.75">
      <c r="A175" s="468" t="s">
        <v>428</v>
      </c>
      <c r="B175" s="468"/>
      <c r="C175" s="468" t="s">
        <v>455</v>
      </c>
      <c r="D175" s="470">
        <v>38597</v>
      </c>
      <c r="E175" s="470">
        <v>38597</v>
      </c>
      <c r="F175" s="470">
        <v>38597</v>
      </c>
      <c r="G175" s="470">
        <v>38597</v>
      </c>
    </row>
    <row r="176" spans="1:7" ht="12.75">
      <c r="A176" s="467" t="s">
        <v>430</v>
      </c>
      <c r="B176" s="468"/>
      <c r="C176" s="468"/>
      <c r="D176" s="468"/>
      <c r="E176" s="468"/>
      <c r="F176" s="468"/>
      <c r="G176" s="468"/>
    </row>
    <row r="177" spans="1:7" ht="12.75">
      <c r="A177" s="468" t="s">
        <v>431</v>
      </c>
      <c r="B177" s="468"/>
      <c r="C177" s="468" t="s">
        <v>432</v>
      </c>
      <c r="D177" s="472">
        <f>SUM(D22:D32)+SUM(D44:D53)+SUM(D65:D72)+D75</f>
        <v>331440.79000000004</v>
      </c>
      <c r="E177" s="472">
        <f>SUM(E22:E32)+SUM(E44:E53)+SUM(E65:E72)+E75</f>
        <v>273830.1</v>
      </c>
      <c r="F177" s="472">
        <f>SUM(F22:F32)+SUM(F44:F53)+SUM(F65:F72)+F75</f>
        <v>289311.20000000007</v>
      </c>
      <c r="G177" s="472">
        <f>SUM(G22:G32)+SUM(G44:G53)+SUM(G65:G72)+G75</f>
        <v>280748</v>
      </c>
    </row>
    <row r="178" spans="1:7" ht="12.75">
      <c r="A178" s="468" t="s">
        <v>433</v>
      </c>
      <c r="B178" s="468"/>
      <c r="C178" s="468" t="s">
        <v>434</v>
      </c>
      <c r="D178" s="472">
        <f>D78-D17-D20-D59-D63-D64</f>
        <v>310571.8400000001</v>
      </c>
      <c r="E178" s="472">
        <f>E78-E17-E20-E59-E63-E64</f>
        <v>280377.6</v>
      </c>
      <c r="F178" s="472">
        <f>F78-F17-F20-F59-F63-F64</f>
        <v>285320.39999999997</v>
      </c>
      <c r="G178" s="472">
        <f>G78-G17-G20-G59-G63-G64</f>
        <v>284691.3</v>
      </c>
    </row>
    <row r="179" spans="1:7" ht="12.75">
      <c r="A179" s="468"/>
      <c r="B179" s="468"/>
      <c r="C179" s="468" t="s">
        <v>435</v>
      </c>
      <c r="D179" s="472">
        <f>D178+D170</f>
        <v>337104.5400000001</v>
      </c>
      <c r="E179" s="472">
        <f>E178+E170</f>
        <v>307376.39999999997</v>
      </c>
      <c r="F179" s="472">
        <f>F178+F170</f>
        <v>306721.8</v>
      </c>
      <c r="G179" s="472">
        <f>G178+G170</f>
        <v>310791.2</v>
      </c>
    </row>
    <row r="180" spans="1:7" ht="12.75">
      <c r="A180" s="468" t="s">
        <v>436</v>
      </c>
      <c r="B180" s="468"/>
      <c r="C180" s="468" t="s">
        <v>437</v>
      </c>
      <c r="D180" s="472">
        <f>D38-D44+D8+D9+D10+D16-D33</f>
        <v>10135.599999999999</v>
      </c>
      <c r="E180" s="472">
        <f>E38-E44+E8+E9+E10+E16-E33</f>
        <v>15605.3</v>
      </c>
      <c r="F180" s="472">
        <f>F38-F44+F8+F9+F10+F16-F33</f>
        <v>9004.100000000002</v>
      </c>
      <c r="G180" s="472">
        <f>G38-G44+G8+G9+G10+G16-G33</f>
        <v>9962.9</v>
      </c>
    </row>
    <row r="181" spans="1:7" ht="27" customHeight="1">
      <c r="A181" s="473" t="s">
        <v>438</v>
      </c>
      <c r="B181" s="474"/>
      <c r="C181" s="474" t="s">
        <v>439</v>
      </c>
      <c r="D181" s="475">
        <f>D22+D23+D24+D25+D26+D29+SUM(D44:D47)+SUM(D49:D53)-D54+D32-D33+SUM(D65:D70)+D72</f>
        <v>315357.85000000003</v>
      </c>
      <c r="E181" s="475">
        <f>E22+E23+E24+E25+E26+E29+SUM(E44:E47)+SUM(E49:E53)-E54+E32-E33+SUM(E65:E70)+E72</f>
        <v>272279.19999999995</v>
      </c>
      <c r="F181" s="475">
        <f>F22+F23+F24+F25+F26+F29+SUM(F44:F47)+SUM(F49:F53)-F54+F32-F33+SUM(F65:F70)+F72</f>
        <v>275986.5</v>
      </c>
      <c r="G181" s="475">
        <f>G22+G23+G24+G25+G26+G29+SUM(G44:G47)+SUM(G49:G53)-G54+G32-G33+SUM(G65:G70)+G72</f>
        <v>277509</v>
      </c>
    </row>
    <row r="182" spans="1:7" ht="12.75">
      <c r="A182" s="474" t="s">
        <v>440</v>
      </c>
      <c r="B182" s="474"/>
      <c r="C182" s="474" t="s">
        <v>441</v>
      </c>
      <c r="D182" s="475">
        <f>D181+D171</f>
        <v>324204.85000000003</v>
      </c>
      <c r="E182" s="475">
        <f>E181+E171</f>
        <v>281260.69999999995</v>
      </c>
      <c r="F182" s="475">
        <f>F181+F171</f>
        <v>283750.8</v>
      </c>
      <c r="G182" s="475">
        <f>G181+G171</f>
        <v>286348.6</v>
      </c>
    </row>
    <row r="183" spans="1:7" ht="12.75">
      <c r="A183" s="474" t="s">
        <v>442</v>
      </c>
      <c r="B183" s="474"/>
      <c r="C183" s="474" t="s">
        <v>443</v>
      </c>
      <c r="D183" s="475">
        <f>D4+D5-D7+D38+D39+D40+D41+D43+D13-D16+D57+D58+D60+D61+D62</f>
        <v>290734.43999999994</v>
      </c>
      <c r="E183" s="475">
        <f>E4+E5-E7+E38+E39+E40+E41+E43+E13-E16+E57+E58+E60+E61+E62</f>
        <v>257024.6</v>
      </c>
      <c r="F183" s="475">
        <f>F4+F5-F7+F38+F39+F40+F41+F43+F13-F16+F57+F58+F60+F61+F62</f>
        <v>255322.39999999997</v>
      </c>
      <c r="G183" s="475">
        <f>G4+G5-G7+G38+G39+G40+G41+G43+G13-G16+G57+G58+G60+G61+G62</f>
        <v>266260.9</v>
      </c>
    </row>
    <row r="184" spans="1:7" ht="12.75">
      <c r="A184" s="474" t="s">
        <v>444</v>
      </c>
      <c r="B184" s="474"/>
      <c r="C184" s="474" t="s">
        <v>445</v>
      </c>
      <c r="D184" s="475">
        <f>D183+D170</f>
        <v>317267.13999999996</v>
      </c>
      <c r="E184" s="475">
        <f>E183+E170</f>
        <v>284023.4</v>
      </c>
      <c r="F184" s="475">
        <f>F183+F170</f>
        <v>276723.8</v>
      </c>
      <c r="G184" s="475">
        <f>G183+G170</f>
        <v>292360.80000000005</v>
      </c>
    </row>
    <row r="185" spans="1:7" ht="12.75">
      <c r="A185" s="474"/>
      <c r="B185" s="474"/>
      <c r="C185" s="474" t="s">
        <v>446</v>
      </c>
      <c r="D185" s="475">
        <f aca="true" t="shared" si="0" ref="D185:G186">D181-D183</f>
        <v>24623.41000000009</v>
      </c>
      <c r="E185" s="475">
        <f t="shared" si="0"/>
        <v>15254.599999999948</v>
      </c>
      <c r="F185" s="475">
        <f t="shared" si="0"/>
        <v>20664.100000000035</v>
      </c>
      <c r="G185" s="475">
        <f t="shared" si="0"/>
        <v>11248.099999999977</v>
      </c>
    </row>
    <row r="186" spans="1:7" ht="12.75">
      <c r="A186" s="474"/>
      <c r="B186" s="474"/>
      <c r="C186" s="474" t="s">
        <v>447</v>
      </c>
      <c r="D186" s="475">
        <f t="shared" si="0"/>
        <v>6937.710000000079</v>
      </c>
      <c r="E186" s="475">
        <f t="shared" si="0"/>
        <v>-2762.70000000007</v>
      </c>
      <c r="F186" s="475">
        <f t="shared" si="0"/>
        <v>7027</v>
      </c>
      <c r="G186" s="475">
        <f t="shared" si="0"/>
        <v>-6012.20000000007</v>
      </c>
    </row>
  </sheetData>
  <sheetProtection/>
  <mergeCells count="2">
    <mergeCell ref="A3:C3"/>
    <mergeCell ref="A81:C8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&amp;LFachgruppe für kantonale Finanzfragen (FkF)
Groupe d'études pour les finances cantonales
&amp;CRechnung 2011 - Budget 2013
Compte 2011 - Budget 2013&amp;RZürich, 12.9.2013</oddHeader>
    <oddFooter>&amp;LQuelle/Source: FkF Sept. 2013</oddFooter>
  </headerFooter>
  <rowBreaks count="2" manualBreakCount="2">
    <brk id="79" max="6" man="1"/>
    <brk id="148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44.7109375" style="0" customWidth="1"/>
    <col min="3" max="3" width="12.28125" style="0" bestFit="1" customWidth="1"/>
    <col min="4" max="4" width="7.00390625" style="0" customWidth="1"/>
    <col min="5" max="5" width="12.28125" style="0" bestFit="1" customWidth="1"/>
    <col min="6" max="6" width="7.28125" style="0" customWidth="1"/>
    <col min="7" max="7" width="12.28125" style="0" bestFit="1" customWidth="1"/>
    <col min="8" max="8" width="6.57421875" style="0" customWidth="1"/>
    <col min="9" max="9" width="12.28125" style="0" bestFit="1" customWidth="1"/>
  </cols>
  <sheetData>
    <row r="1" spans="1:9" ht="12.75">
      <c r="A1" s="5" t="s">
        <v>20</v>
      </c>
      <c r="B1" s="6" t="s">
        <v>111</v>
      </c>
      <c r="C1" s="57" t="s">
        <v>22</v>
      </c>
      <c r="D1" s="7" t="s">
        <v>23</v>
      </c>
      <c r="E1" s="57" t="s">
        <v>105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 t="s">
        <v>27</v>
      </c>
      <c r="F3" s="134">
        <v>0</v>
      </c>
      <c r="G3" s="135" t="s">
        <v>27</v>
      </c>
      <c r="H3" s="134">
        <v>0</v>
      </c>
      <c r="I3" s="115" t="s">
        <v>27</v>
      </c>
    </row>
    <row r="4" spans="1:9" ht="12.75">
      <c r="A4" s="5" t="s">
        <v>28</v>
      </c>
      <c r="B4" s="9" t="s">
        <v>29</v>
      </c>
      <c r="C4" s="10">
        <v>298004.2</v>
      </c>
      <c r="D4" s="11"/>
      <c r="E4" s="10"/>
      <c r="F4" s="11"/>
      <c r="G4" s="10"/>
      <c r="H4" s="11"/>
      <c r="I4" s="12"/>
    </row>
    <row r="5" spans="1:9" ht="12.75">
      <c r="A5" s="13" t="s">
        <v>30</v>
      </c>
      <c r="B5" s="14" t="s">
        <v>31</v>
      </c>
      <c r="C5" s="15">
        <v>109846.4</v>
      </c>
      <c r="D5" s="16"/>
      <c r="E5" s="15"/>
      <c r="F5" s="16"/>
      <c r="G5" s="15"/>
      <c r="H5" s="16"/>
      <c r="I5" s="17"/>
    </row>
    <row r="6" spans="1:9" ht="12.75">
      <c r="A6" s="13" t="s">
        <v>32</v>
      </c>
      <c r="B6" s="14" t="s">
        <v>33</v>
      </c>
      <c r="C6" s="15">
        <v>26017.8</v>
      </c>
      <c r="D6" s="16"/>
      <c r="E6" s="15"/>
      <c r="F6" s="16"/>
      <c r="G6" s="15"/>
      <c r="H6" s="16"/>
      <c r="I6" s="17"/>
    </row>
    <row r="7" spans="1:9" ht="12.75">
      <c r="A7" s="13" t="s">
        <v>34</v>
      </c>
      <c r="B7" s="14" t="s">
        <v>35</v>
      </c>
      <c r="C7" s="15">
        <v>11147.3</v>
      </c>
      <c r="D7" s="16"/>
      <c r="E7" s="15"/>
      <c r="F7" s="16"/>
      <c r="G7" s="15"/>
      <c r="H7" s="16"/>
      <c r="I7" s="17"/>
    </row>
    <row r="8" spans="1:9" ht="12.75">
      <c r="A8" s="13" t="s">
        <v>36</v>
      </c>
      <c r="B8" s="14" t="s">
        <v>37</v>
      </c>
      <c r="C8" s="15">
        <v>6823.6</v>
      </c>
      <c r="D8" s="16"/>
      <c r="E8" s="15"/>
      <c r="F8" s="16"/>
      <c r="G8" s="15"/>
      <c r="H8" s="16"/>
      <c r="I8" s="17"/>
    </row>
    <row r="9" spans="1:9" ht="12.75">
      <c r="A9" s="13" t="s">
        <v>112</v>
      </c>
      <c r="B9" s="14" t="s">
        <v>39</v>
      </c>
      <c r="C9" s="15">
        <v>67126.3</v>
      </c>
      <c r="D9" s="16"/>
      <c r="E9" s="15"/>
      <c r="F9" s="16"/>
      <c r="G9" s="15"/>
      <c r="H9" s="16"/>
      <c r="I9" s="17"/>
    </row>
    <row r="10" spans="1:9" ht="12.75">
      <c r="A10" s="13" t="s">
        <v>40</v>
      </c>
      <c r="B10" s="14" t="s">
        <v>41</v>
      </c>
      <c r="C10" s="15">
        <v>785461.4</v>
      </c>
      <c r="D10" s="16"/>
      <c r="E10" s="15"/>
      <c r="F10" s="16"/>
      <c r="G10" s="15"/>
      <c r="H10" s="16"/>
      <c r="I10" s="17"/>
    </row>
    <row r="11" spans="1:9" ht="12.75">
      <c r="A11" s="13" t="s">
        <v>42</v>
      </c>
      <c r="B11" s="14" t="s">
        <v>43</v>
      </c>
      <c r="C11" s="15">
        <v>766.7</v>
      </c>
      <c r="D11" s="43"/>
      <c r="E11" s="15"/>
      <c r="F11" s="16"/>
      <c r="G11" s="15"/>
      <c r="H11" s="16"/>
      <c r="I11" s="17"/>
    </row>
    <row r="12" spans="1:9" ht="12.75">
      <c r="A12" s="13" t="s">
        <v>44</v>
      </c>
      <c r="B12" s="14" t="s">
        <v>45</v>
      </c>
      <c r="C12" s="15">
        <v>78846.8</v>
      </c>
      <c r="D12" s="43"/>
      <c r="E12" s="15"/>
      <c r="F12" s="16"/>
      <c r="G12" s="15"/>
      <c r="H12" s="16"/>
      <c r="I12" s="17"/>
    </row>
    <row r="13" spans="1:9" ht="12.75">
      <c r="A13" s="13" t="s">
        <v>46</v>
      </c>
      <c r="B13" s="14" t="s">
        <v>47</v>
      </c>
      <c r="C13" s="15">
        <v>97590.3</v>
      </c>
      <c r="D13" s="43"/>
      <c r="E13" s="15"/>
      <c r="F13" s="43"/>
      <c r="G13" s="15"/>
      <c r="H13" s="43"/>
      <c r="I13" s="17"/>
    </row>
    <row r="14" spans="1:9" ht="12.75">
      <c r="A14" s="13" t="s">
        <v>49</v>
      </c>
      <c r="B14" s="14" t="s">
        <v>50</v>
      </c>
      <c r="C14" s="15">
        <v>0</v>
      </c>
      <c r="D14" s="43"/>
      <c r="E14" s="15"/>
      <c r="F14" s="16"/>
      <c r="G14" s="15"/>
      <c r="H14" s="16"/>
      <c r="I14" s="17"/>
    </row>
    <row r="15" spans="1:9" ht="12.75">
      <c r="A15" s="13" t="s">
        <v>51</v>
      </c>
      <c r="B15" s="14" t="s">
        <v>52</v>
      </c>
      <c r="C15" s="15">
        <v>0</v>
      </c>
      <c r="D15" s="43"/>
      <c r="E15" s="15"/>
      <c r="F15" s="16"/>
      <c r="G15" s="15"/>
      <c r="H15" s="16"/>
      <c r="I15" s="17"/>
    </row>
    <row r="16" spans="1:9" ht="12.75">
      <c r="A16" s="13" t="s">
        <v>53</v>
      </c>
      <c r="B16" s="14" t="s">
        <v>54</v>
      </c>
      <c r="C16" s="15">
        <v>41817</v>
      </c>
      <c r="D16" s="43"/>
      <c r="E16" s="15"/>
      <c r="F16" s="43"/>
      <c r="G16" s="15"/>
      <c r="H16" s="43"/>
      <c r="I16" s="17"/>
    </row>
    <row r="17" spans="1:9" ht="12.75">
      <c r="A17" s="13" t="s">
        <v>55</v>
      </c>
      <c r="B17" s="14" t="s">
        <v>56</v>
      </c>
      <c r="C17" s="15">
        <v>14500.1</v>
      </c>
      <c r="D17" s="16"/>
      <c r="E17" s="15"/>
      <c r="F17" s="16"/>
      <c r="G17" s="15"/>
      <c r="H17" s="16"/>
      <c r="I17" s="17"/>
    </row>
    <row r="18" spans="1:9" ht="12.75">
      <c r="A18" s="13">
        <v>389</v>
      </c>
      <c r="B18" s="14" t="s">
        <v>57</v>
      </c>
      <c r="C18" s="15">
        <v>0</v>
      </c>
      <c r="D18" s="43"/>
      <c r="E18" s="15"/>
      <c r="F18" s="43"/>
      <c r="G18" s="15"/>
      <c r="H18" s="43"/>
      <c r="I18" s="17"/>
    </row>
    <row r="19" spans="1:9" ht="12.75">
      <c r="A19" s="18" t="s">
        <v>58</v>
      </c>
      <c r="B19" s="19" t="s">
        <v>59</v>
      </c>
      <c r="C19" s="20">
        <v>4264.3</v>
      </c>
      <c r="D19" s="43"/>
      <c r="E19" s="20"/>
      <c r="F19" s="43"/>
      <c r="G19" s="20"/>
      <c r="H19" s="43"/>
      <c r="I19" s="21"/>
    </row>
    <row r="20" spans="1:9" ht="12.75">
      <c r="A20" s="22" t="s">
        <v>60</v>
      </c>
      <c r="B20" s="23" t="s">
        <v>61</v>
      </c>
      <c r="C20" s="24">
        <v>1297173.6</v>
      </c>
      <c r="D20" s="25"/>
      <c r="E20" s="24"/>
      <c r="F20" s="25"/>
      <c r="G20" s="24"/>
      <c r="H20" s="25"/>
      <c r="I20" s="26"/>
    </row>
    <row r="21" spans="1:9" ht="12.75">
      <c r="A21" s="27" t="s">
        <v>62</v>
      </c>
      <c r="B21" s="28" t="s">
        <v>63</v>
      </c>
      <c r="C21" s="10">
        <v>678279.5</v>
      </c>
      <c r="D21" s="16"/>
      <c r="E21" s="10"/>
      <c r="F21" s="16"/>
      <c r="G21" s="10"/>
      <c r="H21" s="16"/>
      <c r="I21" s="12"/>
    </row>
    <row r="22" spans="1:9" ht="12.75">
      <c r="A22" s="8" t="s">
        <v>64</v>
      </c>
      <c r="B22" s="29" t="s">
        <v>65</v>
      </c>
      <c r="C22" s="15">
        <v>28429.3</v>
      </c>
      <c r="D22" s="16"/>
      <c r="E22" s="15"/>
      <c r="F22" s="16"/>
      <c r="G22" s="15"/>
      <c r="H22" s="16"/>
      <c r="I22" s="17"/>
    </row>
    <row r="23" spans="1:9" ht="12.75">
      <c r="A23" s="8" t="s">
        <v>66</v>
      </c>
      <c r="B23" s="29" t="s">
        <v>67</v>
      </c>
      <c r="C23" s="15">
        <v>61364</v>
      </c>
      <c r="D23" s="16"/>
      <c r="E23" s="15"/>
      <c r="F23" s="16"/>
      <c r="G23" s="15"/>
      <c r="H23" s="16"/>
      <c r="I23" s="17"/>
    </row>
    <row r="24" spans="1:9" ht="12.75">
      <c r="A24" s="8" t="s">
        <v>68</v>
      </c>
      <c r="B24" s="29" t="s">
        <v>69</v>
      </c>
      <c r="C24" s="15">
        <v>96963.2</v>
      </c>
      <c r="D24" s="16"/>
      <c r="E24" s="15"/>
      <c r="F24" s="16"/>
      <c r="G24" s="15"/>
      <c r="H24" s="16"/>
      <c r="I24" s="17"/>
    </row>
    <row r="25" spans="1:9" ht="12.75">
      <c r="A25" s="8" t="s">
        <v>70</v>
      </c>
      <c r="B25" s="29" t="s">
        <v>71</v>
      </c>
      <c r="C25" s="15">
        <v>508805.1</v>
      </c>
      <c r="D25" s="16"/>
      <c r="E25" s="15"/>
      <c r="F25" s="16"/>
      <c r="G25" s="15"/>
      <c r="H25" s="16"/>
      <c r="I25" s="17"/>
    </row>
    <row r="26" spans="1:9" ht="12.75">
      <c r="A26" s="59" t="s">
        <v>72</v>
      </c>
      <c r="B26" s="29" t="s">
        <v>73</v>
      </c>
      <c r="C26" s="15">
        <v>3854.5</v>
      </c>
      <c r="D26" s="16"/>
      <c r="E26" s="15"/>
      <c r="F26" s="16"/>
      <c r="G26" s="15"/>
      <c r="H26" s="16"/>
      <c r="I26" s="17"/>
    </row>
    <row r="27" spans="1:9" ht="12.75">
      <c r="A27" s="195">
        <v>489</v>
      </c>
      <c r="B27" s="29" t="s">
        <v>74</v>
      </c>
      <c r="C27" s="15">
        <v>0</v>
      </c>
      <c r="D27" s="16"/>
      <c r="E27" s="15"/>
      <c r="F27" s="16"/>
      <c r="G27" s="15"/>
      <c r="H27" s="16"/>
      <c r="I27" s="17"/>
    </row>
    <row r="28" spans="1:9" ht="12.75">
      <c r="A28" s="30" t="s">
        <v>75</v>
      </c>
      <c r="B28" s="31" t="s">
        <v>76</v>
      </c>
      <c r="C28" s="20">
        <v>4264.3</v>
      </c>
      <c r="D28" s="16"/>
      <c r="E28" s="20"/>
      <c r="F28" s="16"/>
      <c r="G28" s="20"/>
      <c r="H28" s="16"/>
      <c r="I28" s="21"/>
    </row>
    <row r="29" spans="1:9" ht="12.75">
      <c r="A29" s="51" t="s">
        <v>77</v>
      </c>
      <c r="B29" s="52" t="s">
        <v>78</v>
      </c>
      <c r="C29" s="24">
        <v>1381959.9000000001</v>
      </c>
      <c r="D29" s="53"/>
      <c r="E29" s="24"/>
      <c r="F29" s="53"/>
      <c r="G29" s="24"/>
      <c r="H29" s="54"/>
      <c r="I29" s="26"/>
    </row>
    <row r="30" spans="1:9" ht="12.75">
      <c r="A30" s="50" t="s">
        <v>79</v>
      </c>
      <c r="B30" s="32" t="s">
        <v>80</v>
      </c>
      <c r="C30" s="33">
        <v>84786.30000000005</v>
      </c>
      <c r="D30" s="136"/>
      <c r="E30" s="33"/>
      <c r="F30" s="136"/>
      <c r="G30" s="34"/>
      <c r="H30" s="137"/>
      <c r="I30" s="35"/>
    </row>
    <row r="31" spans="1:9" ht="12.75">
      <c r="A31" s="140">
        <v>0</v>
      </c>
      <c r="B31" s="28" t="s">
        <v>81</v>
      </c>
      <c r="C31" s="138">
        <v>0</v>
      </c>
      <c r="D31" s="143"/>
      <c r="E31" s="138"/>
      <c r="F31" s="143"/>
      <c r="G31" s="138"/>
      <c r="H31" s="138"/>
      <c r="I31" s="139"/>
    </row>
    <row r="32" spans="1:9" ht="12.75">
      <c r="A32" s="59" t="s">
        <v>82</v>
      </c>
      <c r="B32" s="29" t="s">
        <v>83</v>
      </c>
      <c r="C32" s="15">
        <v>79928</v>
      </c>
      <c r="D32" s="16"/>
      <c r="E32" s="15"/>
      <c r="F32" s="16"/>
      <c r="G32" s="15"/>
      <c r="H32" s="16"/>
      <c r="I32" s="17"/>
    </row>
    <row r="33" spans="1:9" ht="12.75">
      <c r="A33" s="59" t="s">
        <v>84</v>
      </c>
      <c r="B33" s="29" t="s">
        <v>85</v>
      </c>
      <c r="C33" s="15">
        <v>32720.1</v>
      </c>
      <c r="D33" s="16"/>
      <c r="E33" s="15"/>
      <c r="F33" s="16"/>
      <c r="G33" s="15"/>
      <c r="H33" s="16"/>
      <c r="I33" s="17"/>
    </row>
    <row r="34" spans="1:9" ht="12.75">
      <c r="A34" s="8" t="s">
        <v>86</v>
      </c>
      <c r="B34" s="29" t="s">
        <v>87</v>
      </c>
      <c r="C34" s="15">
        <v>19693.8</v>
      </c>
      <c r="D34" s="16"/>
      <c r="E34" s="15"/>
      <c r="F34" s="16"/>
      <c r="G34" s="15"/>
      <c r="H34" s="16"/>
      <c r="I34" s="17"/>
    </row>
    <row r="35" spans="1:9" ht="12.75">
      <c r="A35" s="51" t="s">
        <v>88</v>
      </c>
      <c r="B35" s="52" t="s">
        <v>89</v>
      </c>
      <c r="C35" s="24">
        <v>132341.9</v>
      </c>
      <c r="D35" s="54"/>
      <c r="E35" s="24"/>
      <c r="F35" s="54"/>
      <c r="G35" s="24"/>
      <c r="H35" s="54"/>
      <c r="I35" s="26"/>
    </row>
    <row r="36" spans="1:9" ht="12.75">
      <c r="A36" s="8" t="s">
        <v>90</v>
      </c>
      <c r="B36" s="29" t="s">
        <v>91</v>
      </c>
      <c r="C36" s="15">
        <v>0</v>
      </c>
      <c r="D36" s="16"/>
      <c r="E36" s="15"/>
      <c r="F36" s="16"/>
      <c r="G36" s="15"/>
      <c r="H36" s="16"/>
      <c r="I36" s="17"/>
    </row>
    <row r="37" spans="1:9" ht="12.75">
      <c r="A37" s="8" t="s">
        <v>92</v>
      </c>
      <c r="B37" s="29" t="s">
        <v>93</v>
      </c>
      <c r="C37" s="15">
        <v>25976.8</v>
      </c>
      <c r="D37" s="16"/>
      <c r="E37" s="15"/>
      <c r="F37" s="16"/>
      <c r="G37" s="15"/>
      <c r="H37" s="16"/>
      <c r="I37" s="17"/>
    </row>
    <row r="38" spans="1:9" ht="12.75">
      <c r="A38" s="51" t="s">
        <v>94</v>
      </c>
      <c r="B38" s="52" t="s">
        <v>95</v>
      </c>
      <c r="C38" s="24">
        <v>25976.8</v>
      </c>
      <c r="D38" s="54"/>
      <c r="E38" s="24"/>
      <c r="F38" s="54"/>
      <c r="G38" s="24"/>
      <c r="H38" s="54"/>
      <c r="I38" s="26"/>
    </row>
    <row r="39" spans="1:9" ht="12.75">
      <c r="A39" s="36" t="s">
        <v>96</v>
      </c>
      <c r="B39" s="37" t="s">
        <v>3</v>
      </c>
      <c r="C39" s="38">
        <v>106365.09999999999</v>
      </c>
      <c r="D39" s="39"/>
      <c r="E39" s="38"/>
      <c r="F39" s="39"/>
      <c r="G39" s="38"/>
      <c r="H39" s="39"/>
      <c r="I39" s="40"/>
    </row>
    <row r="40" spans="1:9" ht="12.75">
      <c r="A40" s="131" t="s">
        <v>0</v>
      </c>
      <c r="B40" s="29" t="s">
        <v>97</v>
      </c>
      <c r="C40" s="15">
        <v>151912.60000000003</v>
      </c>
      <c r="D40" s="16"/>
      <c r="E40" s="15"/>
      <c r="F40" s="16"/>
      <c r="G40" s="15"/>
      <c r="H40" s="16"/>
      <c r="I40" s="17"/>
    </row>
    <row r="41" spans="1:9" ht="12.75">
      <c r="A41" s="131" t="s">
        <v>0</v>
      </c>
      <c r="B41" s="29" t="s">
        <v>98</v>
      </c>
      <c r="C41" s="15">
        <v>45547.500000000044</v>
      </c>
      <c r="D41" s="16"/>
      <c r="E41" s="15"/>
      <c r="F41" s="16"/>
      <c r="G41" s="15"/>
      <c r="H41" s="16"/>
      <c r="I41" s="17"/>
    </row>
    <row r="42" spans="1:9" ht="12.75">
      <c r="A42" s="141" t="s">
        <v>0</v>
      </c>
      <c r="B42" s="31" t="s">
        <v>99</v>
      </c>
      <c r="C42" s="20">
        <v>1336801.1999999997</v>
      </c>
      <c r="D42" s="129"/>
      <c r="E42" s="20"/>
      <c r="F42" s="129"/>
      <c r="G42" s="20"/>
      <c r="H42" s="129"/>
      <c r="I42" s="21"/>
    </row>
    <row r="43" spans="1:9" ht="12.75">
      <c r="A43" s="141">
        <v>0</v>
      </c>
      <c r="B43" s="31" t="s">
        <v>5</v>
      </c>
      <c r="C43" s="66">
        <v>1.428218466395463</v>
      </c>
      <c r="D43" s="142"/>
      <c r="E43" s="41"/>
      <c r="F43" s="142"/>
      <c r="G43" s="41"/>
      <c r="H43" s="142"/>
      <c r="I43" s="4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86"/>
  <sheetViews>
    <sheetView zoomScale="115" zoomScaleNormal="115" zoomScalePageLayoutView="0" workbookViewId="0" topLeftCell="A1">
      <selection activeCell="A1" sqref="A1:G186"/>
    </sheetView>
  </sheetViews>
  <sheetFormatPr defaultColWidth="11.421875" defaultRowHeight="12.75"/>
  <cols>
    <col min="1" max="1" width="16.7109375" style="252" customWidth="1"/>
    <col min="2" max="2" width="3.7109375" style="252" customWidth="1"/>
    <col min="3" max="3" width="39.7109375" style="252" customWidth="1"/>
    <col min="4" max="4" width="12.7109375" style="252" customWidth="1"/>
    <col min="5" max="5" width="11.421875" style="252" customWidth="1"/>
    <col min="6" max="6" width="12.7109375" style="252" customWidth="1"/>
    <col min="7" max="16384" width="11.421875" style="252" customWidth="1"/>
  </cols>
  <sheetData>
    <row r="1" spans="1:55" s="243" customFormat="1" ht="18" customHeight="1">
      <c r="A1" s="476" t="s">
        <v>220</v>
      </c>
      <c r="B1" s="477" t="s">
        <v>448</v>
      </c>
      <c r="C1" s="477" t="s">
        <v>111</v>
      </c>
      <c r="D1" s="241" t="s">
        <v>22</v>
      </c>
      <c r="E1" s="240" t="s">
        <v>105</v>
      </c>
      <c r="F1" s="241" t="s">
        <v>22</v>
      </c>
      <c r="G1" s="240" t="s">
        <v>105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7" s="249" customFormat="1" ht="15" customHeight="1">
      <c r="A2" s="244"/>
      <c r="B2" s="245"/>
      <c r="C2" s="246" t="s">
        <v>222</v>
      </c>
      <c r="D2" s="248">
        <v>2011</v>
      </c>
      <c r="E2" s="247">
        <v>2012</v>
      </c>
      <c r="F2" s="248">
        <v>2012</v>
      </c>
      <c r="G2" s="247">
        <v>2013</v>
      </c>
    </row>
    <row r="3" spans="1:7" ht="15" customHeight="1">
      <c r="A3" s="609" t="s">
        <v>223</v>
      </c>
      <c r="B3" s="610"/>
      <c r="C3" s="610"/>
      <c r="D3" s="250"/>
      <c r="F3" s="250"/>
      <c r="G3" s="253" t="s">
        <v>103</v>
      </c>
    </row>
    <row r="4" spans="1:7" s="260" customFormat="1" ht="12.75" customHeight="1">
      <c r="A4" s="479">
        <v>30</v>
      </c>
      <c r="B4" s="480"/>
      <c r="C4" s="256" t="s">
        <v>29</v>
      </c>
      <c r="D4" s="257"/>
      <c r="E4" s="257">
        <v>305417.09</v>
      </c>
      <c r="F4" s="257">
        <v>295886.69</v>
      </c>
      <c r="G4" s="259">
        <v>310180.71</v>
      </c>
    </row>
    <row r="5" spans="1:7" s="260" customFormat="1" ht="12.75" customHeight="1">
      <c r="A5" s="261">
        <v>31</v>
      </c>
      <c r="B5" s="262"/>
      <c r="C5" s="263" t="s">
        <v>224</v>
      </c>
      <c r="D5" s="264"/>
      <c r="E5" s="264">
        <v>112700.456</v>
      </c>
      <c r="F5" s="275">
        <v>110727.85</v>
      </c>
      <c r="G5" s="267">
        <v>115666.07</v>
      </c>
    </row>
    <row r="6" spans="1:7" s="260" customFormat="1" ht="12.75" customHeight="1">
      <c r="A6" s="268" t="s">
        <v>32</v>
      </c>
      <c r="B6" s="269"/>
      <c r="C6" s="270" t="s">
        <v>225</v>
      </c>
      <c r="D6" s="271"/>
      <c r="E6" s="271">
        <v>22959.6</v>
      </c>
      <c r="F6" s="271">
        <v>22849.81</v>
      </c>
      <c r="G6" s="273">
        <v>23138.15</v>
      </c>
    </row>
    <row r="7" spans="1:7" s="260" customFormat="1" ht="12.75" customHeight="1">
      <c r="A7" s="268" t="s">
        <v>226</v>
      </c>
      <c r="B7" s="269"/>
      <c r="C7" s="270" t="s">
        <v>227</v>
      </c>
      <c r="D7" s="271"/>
      <c r="E7" s="271">
        <v>0</v>
      </c>
      <c r="F7" s="271">
        <v>2261</v>
      </c>
      <c r="G7" s="273">
        <v>0</v>
      </c>
    </row>
    <row r="8" spans="1:7" s="260" customFormat="1" ht="12.75" customHeight="1">
      <c r="A8" s="274">
        <v>330</v>
      </c>
      <c r="B8" s="262"/>
      <c r="C8" s="263" t="s">
        <v>228</v>
      </c>
      <c r="D8" s="275"/>
      <c r="E8" s="275">
        <v>64301</v>
      </c>
      <c r="F8" s="275">
        <v>58415.35</v>
      </c>
      <c r="G8" s="276">
        <v>68133</v>
      </c>
    </row>
    <row r="9" spans="1:7" s="260" customFormat="1" ht="12.75" customHeight="1">
      <c r="A9" s="274">
        <v>332</v>
      </c>
      <c r="B9" s="262"/>
      <c r="C9" s="263" t="s">
        <v>229</v>
      </c>
      <c r="D9" s="275"/>
      <c r="E9" s="275">
        <v>0</v>
      </c>
      <c r="F9" s="275">
        <v>0</v>
      </c>
      <c r="G9" s="276">
        <v>0</v>
      </c>
    </row>
    <row r="10" spans="1:7" s="260" customFormat="1" ht="12.75" customHeight="1">
      <c r="A10" s="274">
        <v>339</v>
      </c>
      <c r="B10" s="262"/>
      <c r="C10" s="263" t="s">
        <v>230</v>
      </c>
      <c r="D10" s="275">
        <v>0</v>
      </c>
      <c r="E10" s="275">
        <v>0</v>
      </c>
      <c r="F10" s="275">
        <v>0</v>
      </c>
      <c r="G10" s="276">
        <v>0</v>
      </c>
    </row>
    <row r="11" spans="1:7" s="260" customFormat="1" ht="12.75" customHeight="1">
      <c r="A11" s="261">
        <v>350</v>
      </c>
      <c r="B11" s="262"/>
      <c r="C11" s="263" t="s">
        <v>231</v>
      </c>
      <c r="D11" s="275">
        <v>0</v>
      </c>
      <c r="E11" s="275">
        <v>0</v>
      </c>
      <c r="F11" s="275">
        <v>0</v>
      </c>
      <c r="G11" s="277">
        <v>0</v>
      </c>
    </row>
    <row r="12" spans="1:7" s="285" customFormat="1" ht="12.75">
      <c r="A12" s="278">
        <v>351</v>
      </c>
      <c r="B12" s="279"/>
      <c r="C12" s="280" t="s">
        <v>232</v>
      </c>
      <c r="D12" s="346"/>
      <c r="E12" s="282">
        <v>8170.5</v>
      </c>
      <c r="F12" s="282">
        <v>10168.4</v>
      </c>
      <c r="G12" s="482">
        <v>8528.787</v>
      </c>
    </row>
    <row r="13" spans="1:7" s="260" customFormat="1" ht="12.75" customHeight="1">
      <c r="A13" s="261">
        <v>36</v>
      </c>
      <c r="B13" s="262"/>
      <c r="C13" s="263" t="s">
        <v>233</v>
      </c>
      <c r="D13" s="275"/>
      <c r="E13" s="264">
        <v>776025.224</v>
      </c>
      <c r="F13" s="271">
        <v>757703.91</v>
      </c>
      <c r="G13" s="267">
        <v>824296.14</v>
      </c>
    </row>
    <row r="14" spans="1:7" s="260" customFormat="1" ht="12.75" customHeight="1">
      <c r="A14" s="287" t="s">
        <v>234</v>
      </c>
      <c r="B14" s="262"/>
      <c r="C14" s="288" t="s">
        <v>235</v>
      </c>
      <c r="D14" s="271"/>
      <c r="E14" s="323">
        <v>141367.5</v>
      </c>
      <c r="F14" s="271">
        <v>123072.99</v>
      </c>
      <c r="G14" s="267">
        <v>149642</v>
      </c>
    </row>
    <row r="15" spans="1:7" s="260" customFormat="1" ht="12.75" customHeight="1">
      <c r="A15" s="287" t="s">
        <v>236</v>
      </c>
      <c r="B15" s="262"/>
      <c r="C15" s="288" t="s">
        <v>237</v>
      </c>
      <c r="D15" s="271"/>
      <c r="E15" s="323">
        <v>29479.7</v>
      </c>
      <c r="F15" s="271">
        <v>31748.66</v>
      </c>
      <c r="G15" s="267">
        <v>32317.9</v>
      </c>
    </row>
    <row r="16" spans="1:7" s="297" customFormat="1" ht="26.25" customHeight="1">
      <c r="A16" s="287" t="s">
        <v>238</v>
      </c>
      <c r="B16" s="483"/>
      <c r="C16" s="288" t="s">
        <v>239</v>
      </c>
      <c r="D16" s="293"/>
      <c r="E16" s="294">
        <v>11642</v>
      </c>
      <c r="F16" s="293">
        <v>10377.25</v>
      </c>
      <c r="G16" s="484">
        <v>11100</v>
      </c>
    </row>
    <row r="17" spans="1:7" s="299" customFormat="1" ht="12.75">
      <c r="A17" s="261">
        <v>37</v>
      </c>
      <c r="B17" s="262"/>
      <c r="C17" s="263" t="s">
        <v>240</v>
      </c>
      <c r="D17" s="316"/>
      <c r="E17" s="264">
        <v>79002.8</v>
      </c>
      <c r="F17" s="316">
        <v>77529.92</v>
      </c>
      <c r="G17" s="267">
        <v>79549.8</v>
      </c>
    </row>
    <row r="18" spans="1:7" s="299" customFormat="1" ht="12.75">
      <c r="A18" s="274" t="s">
        <v>241</v>
      </c>
      <c r="B18" s="262"/>
      <c r="C18" s="263" t="s">
        <v>242</v>
      </c>
      <c r="D18" s="485"/>
      <c r="E18" s="323">
        <v>0</v>
      </c>
      <c r="F18" s="485">
        <v>0</v>
      </c>
      <c r="G18" s="267">
        <v>0</v>
      </c>
    </row>
    <row r="19" spans="1:7" s="299" customFormat="1" ht="12.75">
      <c r="A19" s="274" t="s">
        <v>243</v>
      </c>
      <c r="B19" s="262"/>
      <c r="C19" s="263" t="s">
        <v>244</v>
      </c>
      <c r="D19" s="485"/>
      <c r="E19" s="323">
        <v>44793</v>
      </c>
      <c r="F19" s="485">
        <v>44605.11</v>
      </c>
      <c r="G19" s="267">
        <v>45068</v>
      </c>
    </row>
    <row r="20" spans="1:7" s="260" customFormat="1" ht="12.75" customHeight="1">
      <c r="A20" s="301">
        <v>39</v>
      </c>
      <c r="B20" s="302"/>
      <c r="C20" s="303" t="s">
        <v>245</v>
      </c>
      <c r="D20" s="306"/>
      <c r="E20" s="304">
        <v>4977.583</v>
      </c>
      <c r="F20" s="306">
        <v>3127.63</v>
      </c>
      <c r="G20" s="486">
        <v>4114.81</v>
      </c>
    </row>
    <row r="21" spans="1:7" ht="12.75" customHeight="1">
      <c r="A21" s="309"/>
      <c r="B21" s="309"/>
      <c r="C21" s="310" t="s">
        <v>246</v>
      </c>
      <c r="D21" s="311">
        <f>D4+D5+SUM(D8:D13)+D17</f>
        <v>0</v>
      </c>
      <c r="E21" s="311">
        <f>E4+E5+SUM(E8:E13)+E17</f>
        <v>1345617.07</v>
      </c>
      <c r="F21" s="311">
        <f>F4+F5+SUM(F8:F13)+F17</f>
        <v>1310432.12</v>
      </c>
      <c r="G21" s="311">
        <f>G4+G5+SUM(G8:G13)+G17</f>
        <v>1406354.507</v>
      </c>
    </row>
    <row r="22" spans="1:7" s="260" customFormat="1" ht="12.75" customHeight="1">
      <c r="A22" s="274" t="s">
        <v>247</v>
      </c>
      <c r="B22" s="262"/>
      <c r="C22" s="263" t="s">
        <v>248</v>
      </c>
      <c r="D22" s="275"/>
      <c r="E22" s="275">
        <v>665300</v>
      </c>
      <c r="F22" s="275">
        <v>609229.9</v>
      </c>
      <c r="G22" s="276">
        <v>654900</v>
      </c>
    </row>
    <row r="23" spans="1:7" s="260" customFormat="1" ht="12.75" customHeight="1">
      <c r="A23" s="274" t="s">
        <v>249</v>
      </c>
      <c r="B23" s="262"/>
      <c r="C23" s="263" t="s">
        <v>250</v>
      </c>
      <c r="D23" s="275"/>
      <c r="E23" s="275">
        <v>29500</v>
      </c>
      <c r="F23" s="275">
        <v>32090.229</v>
      </c>
      <c r="G23" s="276">
        <v>30412</v>
      </c>
    </row>
    <row r="24" spans="1:7" s="313" customFormat="1" ht="12.75" customHeight="1">
      <c r="A24" s="261">
        <v>41</v>
      </c>
      <c r="B24" s="262"/>
      <c r="C24" s="263" t="s">
        <v>251</v>
      </c>
      <c r="D24" s="275"/>
      <c r="E24" s="275">
        <v>11757</v>
      </c>
      <c r="F24" s="275">
        <v>11625.44</v>
      </c>
      <c r="G24" s="276">
        <v>11557.3</v>
      </c>
    </row>
    <row r="25" spans="1:7" s="260" customFormat="1" ht="12.75" customHeight="1">
      <c r="A25" s="314">
        <v>42</v>
      </c>
      <c r="B25" s="315"/>
      <c r="C25" s="263" t="s">
        <v>252</v>
      </c>
      <c r="D25" s="275"/>
      <c r="E25" s="275">
        <v>65493.4</v>
      </c>
      <c r="F25" s="275">
        <v>64760.51</v>
      </c>
      <c r="G25" s="276">
        <v>65475.2</v>
      </c>
    </row>
    <row r="26" spans="1:7" s="318" customFormat="1" ht="12.75" customHeight="1">
      <c r="A26" s="278">
        <v>430</v>
      </c>
      <c r="B26" s="262"/>
      <c r="C26" s="263" t="s">
        <v>253</v>
      </c>
      <c r="D26" s="316"/>
      <c r="E26" s="316">
        <v>45</v>
      </c>
      <c r="F26" s="316">
        <v>47.539</v>
      </c>
      <c r="G26" s="276">
        <v>45</v>
      </c>
    </row>
    <row r="27" spans="1:7" s="318" customFormat="1" ht="12.75" customHeight="1">
      <c r="A27" s="278">
        <v>431</v>
      </c>
      <c r="B27" s="262"/>
      <c r="C27" s="263" t="s">
        <v>254</v>
      </c>
      <c r="D27" s="316"/>
      <c r="E27" s="316">
        <v>6391</v>
      </c>
      <c r="F27" s="316">
        <v>5921</v>
      </c>
      <c r="G27" s="276">
        <v>6318</v>
      </c>
    </row>
    <row r="28" spans="1:7" s="318" customFormat="1" ht="12.75" customHeight="1">
      <c r="A28" s="278">
        <v>432</v>
      </c>
      <c r="B28" s="262"/>
      <c r="C28" s="263" t="s">
        <v>255</v>
      </c>
      <c r="D28" s="316"/>
      <c r="E28" s="316">
        <v>-3</v>
      </c>
      <c r="F28" s="316">
        <v>-4.95</v>
      </c>
      <c r="G28" s="276">
        <v>-2</v>
      </c>
    </row>
    <row r="29" spans="1:7" s="318" customFormat="1" ht="12.75" customHeight="1">
      <c r="A29" s="278">
        <v>439</v>
      </c>
      <c r="B29" s="262"/>
      <c r="C29" s="263" t="s">
        <v>256</v>
      </c>
      <c r="D29" s="316"/>
      <c r="E29" s="316">
        <v>20</v>
      </c>
      <c r="F29" s="316">
        <v>18.287</v>
      </c>
      <c r="G29" s="276">
        <v>14</v>
      </c>
    </row>
    <row r="30" spans="1:7" s="260" customFormat="1" ht="25.5">
      <c r="A30" s="278">
        <v>450</v>
      </c>
      <c r="B30" s="279"/>
      <c r="C30" s="280" t="s">
        <v>257</v>
      </c>
      <c r="D30" s="264">
        <v>0</v>
      </c>
      <c r="E30" s="264">
        <v>0</v>
      </c>
      <c r="F30" s="264">
        <v>0</v>
      </c>
      <c r="G30" s="319">
        <v>0</v>
      </c>
    </row>
    <row r="31" spans="1:7" s="285" customFormat="1" ht="25.5">
      <c r="A31" s="278">
        <v>451</v>
      </c>
      <c r="B31" s="279"/>
      <c r="C31" s="280" t="s">
        <v>258</v>
      </c>
      <c r="D31" s="275"/>
      <c r="E31" s="281">
        <v>42.412</v>
      </c>
      <c r="F31" s="281">
        <v>0</v>
      </c>
      <c r="G31" s="276">
        <v>0</v>
      </c>
    </row>
    <row r="32" spans="1:7" s="260" customFormat="1" ht="12.75" customHeight="1">
      <c r="A32" s="261">
        <v>46</v>
      </c>
      <c r="B32" s="262"/>
      <c r="C32" s="263" t="s">
        <v>259</v>
      </c>
      <c r="D32" s="275"/>
      <c r="E32" s="275">
        <v>444405.574</v>
      </c>
      <c r="F32" s="275">
        <v>478479.591</v>
      </c>
      <c r="G32" s="267">
        <v>451683.185</v>
      </c>
    </row>
    <row r="33" spans="1:7" s="285" customFormat="1" ht="12.75" customHeight="1">
      <c r="A33" s="322" t="s">
        <v>260</v>
      </c>
      <c r="B33" s="269"/>
      <c r="C33" s="270" t="s">
        <v>261</v>
      </c>
      <c r="D33" s="271"/>
      <c r="E33" s="275">
        <v>0</v>
      </c>
      <c r="F33" s="271">
        <v>0</v>
      </c>
      <c r="G33" s="267">
        <v>0</v>
      </c>
    </row>
    <row r="34" spans="1:7" s="260" customFormat="1" ht="15" customHeight="1">
      <c r="A34" s="261">
        <v>47</v>
      </c>
      <c r="B34" s="262"/>
      <c r="C34" s="263" t="s">
        <v>240</v>
      </c>
      <c r="D34" s="275"/>
      <c r="E34" s="275">
        <v>79002.8</v>
      </c>
      <c r="F34" s="275">
        <v>77529.916</v>
      </c>
      <c r="G34" s="267">
        <v>79549.8</v>
      </c>
    </row>
    <row r="35" spans="1:7" s="260" customFormat="1" ht="15" customHeight="1">
      <c r="A35" s="301">
        <v>49</v>
      </c>
      <c r="B35" s="302"/>
      <c r="C35" s="303" t="s">
        <v>262</v>
      </c>
      <c r="D35" s="306"/>
      <c r="E35" s="304">
        <v>4977.583</v>
      </c>
      <c r="F35" s="306">
        <v>3127.625</v>
      </c>
      <c r="G35" s="486">
        <v>4114.81</v>
      </c>
    </row>
    <row r="36" spans="1:7" ht="13.5" customHeight="1">
      <c r="A36" s="309"/>
      <c r="B36" s="335"/>
      <c r="C36" s="310" t="s">
        <v>263</v>
      </c>
      <c r="D36" s="311">
        <f>D22+D23+D24+D25+D26+D27+D28+D29+D30+D31+D32+D34</f>
        <v>0</v>
      </c>
      <c r="E36" s="311">
        <f>E22+E23+E24+E25+E26+E27+E28+E29+E30+E31+E32+E34</f>
        <v>1301954.186</v>
      </c>
      <c r="F36" s="311">
        <f>F22+F23+F24+F25+F26+F27+F28+F29+F30+F31+F32+F34</f>
        <v>1279697.462</v>
      </c>
      <c r="G36" s="311">
        <f>G22+G23+G24+G25+G26+G27+G28+G29+G30+G31+G32+G34</f>
        <v>1299952.485</v>
      </c>
    </row>
    <row r="37" spans="1:7" s="487" customFormat="1" ht="15" customHeight="1">
      <c r="A37" s="309"/>
      <c r="B37" s="335"/>
      <c r="C37" s="310" t="s">
        <v>264</v>
      </c>
      <c r="D37" s="311">
        <f>D36-D21</f>
        <v>0</v>
      </c>
      <c r="E37" s="311">
        <f>E36-E21</f>
        <v>-43662.88400000008</v>
      </c>
      <c r="F37" s="311">
        <f>F36-F21</f>
        <v>-30734.658000000054</v>
      </c>
      <c r="G37" s="311">
        <f>G36-G21</f>
        <v>-106402.02199999988</v>
      </c>
    </row>
    <row r="38" spans="1:7" s="285" customFormat="1" ht="15" customHeight="1">
      <c r="A38" s="274">
        <v>340</v>
      </c>
      <c r="B38" s="262"/>
      <c r="C38" s="263" t="s">
        <v>265</v>
      </c>
      <c r="D38" s="316"/>
      <c r="E38" s="264">
        <v>40</v>
      </c>
      <c r="F38" s="275">
        <v>33.65</v>
      </c>
      <c r="G38" s="267">
        <v>42</v>
      </c>
    </row>
    <row r="39" spans="1:7" s="285" customFormat="1" ht="15" customHeight="1">
      <c r="A39" s="274">
        <v>341</v>
      </c>
      <c r="B39" s="262"/>
      <c r="C39" s="263" t="s">
        <v>266</v>
      </c>
      <c r="D39" s="316"/>
      <c r="E39" s="275">
        <v>0</v>
      </c>
      <c r="F39" s="275">
        <v>7.5</v>
      </c>
      <c r="G39" s="276">
        <v>0</v>
      </c>
    </row>
    <row r="40" spans="1:7" s="285" customFormat="1" ht="15" customHeight="1">
      <c r="A40" s="274">
        <v>342</v>
      </c>
      <c r="B40" s="262"/>
      <c r="C40" s="263" t="s">
        <v>267</v>
      </c>
      <c r="D40" s="316"/>
      <c r="E40" s="275">
        <v>0</v>
      </c>
      <c r="F40" s="275">
        <v>0</v>
      </c>
      <c r="G40" s="276">
        <v>0</v>
      </c>
    </row>
    <row r="41" spans="1:7" s="285" customFormat="1" ht="15" customHeight="1">
      <c r="A41" s="274">
        <v>343</v>
      </c>
      <c r="B41" s="262"/>
      <c r="C41" s="263" t="s">
        <v>268</v>
      </c>
      <c r="D41" s="316"/>
      <c r="E41" s="275">
        <v>1627.38</v>
      </c>
      <c r="F41" s="275">
        <v>1414.2</v>
      </c>
      <c r="G41" s="276">
        <v>1372.715</v>
      </c>
    </row>
    <row r="42" spans="1:7" s="285" customFormat="1" ht="15" customHeight="1">
      <c r="A42" s="274">
        <v>344</v>
      </c>
      <c r="B42" s="262"/>
      <c r="C42" s="263" t="s">
        <v>269</v>
      </c>
      <c r="D42" s="316"/>
      <c r="E42" s="275">
        <v>0</v>
      </c>
      <c r="F42" s="275">
        <v>0</v>
      </c>
      <c r="G42" s="276">
        <v>0</v>
      </c>
    </row>
    <row r="43" spans="1:7" s="285" customFormat="1" ht="15" customHeight="1">
      <c r="A43" s="274">
        <v>349</v>
      </c>
      <c r="B43" s="262"/>
      <c r="C43" s="263" t="s">
        <v>270</v>
      </c>
      <c r="D43" s="316"/>
      <c r="E43" s="275">
        <v>10070</v>
      </c>
      <c r="F43" s="275">
        <v>9684.6</v>
      </c>
      <c r="G43" s="276">
        <v>10740</v>
      </c>
    </row>
    <row r="44" spans="1:7" s="260" customFormat="1" ht="15" customHeight="1">
      <c r="A44" s="261">
        <v>440</v>
      </c>
      <c r="B44" s="262"/>
      <c r="C44" s="263" t="s">
        <v>271</v>
      </c>
      <c r="D44" s="316"/>
      <c r="E44" s="264">
        <v>11417.8</v>
      </c>
      <c r="F44" s="275">
        <v>8907.69</v>
      </c>
      <c r="G44" s="267">
        <v>7643.4</v>
      </c>
    </row>
    <row r="45" spans="1:7" s="260" customFormat="1" ht="15" customHeight="1">
      <c r="A45" s="261">
        <v>441</v>
      </c>
      <c r="B45" s="262"/>
      <c r="C45" s="263" t="s">
        <v>272</v>
      </c>
      <c r="D45" s="316"/>
      <c r="E45" s="264">
        <v>0</v>
      </c>
      <c r="F45" s="275">
        <v>351.587</v>
      </c>
      <c r="G45" s="267">
        <v>0</v>
      </c>
    </row>
    <row r="46" spans="1:7" s="260" customFormat="1" ht="15" customHeight="1">
      <c r="A46" s="261">
        <v>442</v>
      </c>
      <c r="B46" s="262"/>
      <c r="C46" s="263" t="s">
        <v>273</v>
      </c>
      <c r="D46" s="316"/>
      <c r="E46" s="264">
        <v>726</v>
      </c>
      <c r="F46" s="275">
        <v>713</v>
      </c>
      <c r="G46" s="267">
        <v>713</v>
      </c>
    </row>
    <row r="47" spans="1:7" s="260" customFormat="1" ht="15" customHeight="1">
      <c r="A47" s="261">
        <v>443</v>
      </c>
      <c r="B47" s="262"/>
      <c r="C47" s="263" t="s">
        <v>274</v>
      </c>
      <c r="D47" s="316"/>
      <c r="E47" s="264">
        <v>1439</v>
      </c>
      <c r="F47" s="275">
        <v>1661.205</v>
      </c>
      <c r="G47" s="267">
        <v>1097.11</v>
      </c>
    </row>
    <row r="48" spans="1:7" s="260" customFormat="1" ht="15" customHeight="1">
      <c r="A48" s="261">
        <v>444</v>
      </c>
      <c r="B48" s="262"/>
      <c r="C48" s="263" t="s">
        <v>269</v>
      </c>
      <c r="D48" s="316"/>
      <c r="E48" s="264">
        <v>0</v>
      </c>
      <c r="F48" s="275">
        <v>0</v>
      </c>
      <c r="G48" s="267">
        <v>0</v>
      </c>
    </row>
    <row r="49" spans="1:7" s="260" customFormat="1" ht="15" customHeight="1">
      <c r="A49" s="261">
        <v>445</v>
      </c>
      <c r="B49" s="262"/>
      <c r="C49" s="263" t="s">
        <v>275</v>
      </c>
      <c r="D49" s="316"/>
      <c r="E49" s="264">
        <v>28666.8</v>
      </c>
      <c r="F49" s="275">
        <v>28560.974</v>
      </c>
      <c r="G49" s="267">
        <v>28626.715</v>
      </c>
    </row>
    <row r="50" spans="1:7" s="260" customFormat="1" ht="15" customHeight="1">
      <c r="A50" s="261">
        <v>446</v>
      </c>
      <c r="B50" s="262"/>
      <c r="C50" s="263" t="s">
        <v>276</v>
      </c>
      <c r="D50" s="316"/>
      <c r="E50" s="264">
        <v>0</v>
      </c>
      <c r="F50" s="275">
        <v>6</v>
      </c>
      <c r="G50" s="267">
        <v>6</v>
      </c>
    </row>
    <row r="51" spans="1:7" s="260" customFormat="1" ht="15" customHeight="1">
      <c r="A51" s="261">
        <v>447</v>
      </c>
      <c r="B51" s="262"/>
      <c r="C51" s="263" t="s">
        <v>277</v>
      </c>
      <c r="D51" s="316"/>
      <c r="E51" s="264">
        <v>8546.448</v>
      </c>
      <c r="F51" s="275">
        <v>7197.411</v>
      </c>
      <c r="G51" s="267">
        <v>7592.042</v>
      </c>
    </row>
    <row r="52" spans="1:7" s="260" customFormat="1" ht="15" customHeight="1">
      <c r="A52" s="261">
        <v>448</v>
      </c>
      <c r="B52" s="262"/>
      <c r="C52" s="263" t="s">
        <v>278</v>
      </c>
      <c r="D52" s="316"/>
      <c r="E52" s="264">
        <v>581.766</v>
      </c>
      <c r="F52" s="275">
        <v>589.653</v>
      </c>
      <c r="G52" s="267">
        <v>568.3</v>
      </c>
    </row>
    <row r="53" spans="1:7" s="260" customFormat="1" ht="15" customHeight="1">
      <c r="A53" s="261">
        <v>449</v>
      </c>
      <c r="B53" s="262"/>
      <c r="C53" s="263" t="s">
        <v>279</v>
      </c>
      <c r="D53" s="316"/>
      <c r="E53" s="264">
        <v>0</v>
      </c>
      <c r="F53" s="275">
        <v>0</v>
      </c>
      <c r="G53" s="267">
        <v>0</v>
      </c>
    </row>
    <row r="54" spans="1:7" s="285" customFormat="1" ht="13.5" customHeight="1">
      <c r="A54" s="329" t="s">
        <v>280</v>
      </c>
      <c r="B54" s="330"/>
      <c r="C54" s="330" t="s">
        <v>281</v>
      </c>
      <c r="D54" s="488"/>
      <c r="E54" s="332">
        <v>0</v>
      </c>
      <c r="F54" s="332">
        <v>0</v>
      </c>
      <c r="G54" s="486">
        <v>0</v>
      </c>
    </row>
    <row r="55" spans="1:7" ht="15" customHeight="1">
      <c r="A55" s="335"/>
      <c r="B55" s="335"/>
      <c r="C55" s="310" t="s">
        <v>282</v>
      </c>
      <c r="D55" s="311">
        <f>SUM(D44:D53)-SUM(D38:D43)</f>
        <v>0</v>
      </c>
      <c r="E55" s="311">
        <f>SUM(E44:E53)-SUM(E38:E43)</f>
        <v>39640.433999999994</v>
      </c>
      <c r="F55" s="311">
        <f>SUM(F44:F53)-SUM(F38:F43)</f>
        <v>36847.56999999999</v>
      </c>
      <c r="G55" s="311">
        <f>SUM(G44:G53)-SUM(G38:G43)</f>
        <v>34091.852</v>
      </c>
    </row>
    <row r="56" spans="1:7" ht="14.25" customHeight="1">
      <c r="A56" s="335"/>
      <c r="B56" s="335"/>
      <c r="C56" s="310" t="s">
        <v>283</v>
      </c>
      <c r="D56" s="311">
        <f>D55+D37</f>
        <v>0</v>
      </c>
      <c r="E56" s="311">
        <f>E55+E37</f>
        <v>-4022.4500000000844</v>
      </c>
      <c r="F56" s="311">
        <f>F55+F37</f>
        <v>6112.911999999938</v>
      </c>
      <c r="G56" s="311">
        <f>G55+G37</f>
        <v>-72310.16999999988</v>
      </c>
    </row>
    <row r="57" spans="1:7" s="260" customFormat="1" ht="15.75" customHeight="1">
      <c r="A57" s="336">
        <v>380</v>
      </c>
      <c r="B57" s="337"/>
      <c r="C57" s="338" t="s">
        <v>284</v>
      </c>
      <c r="D57" s="340"/>
      <c r="E57" s="339"/>
      <c r="F57" s="340"/>
      <c r="G57" s="489"/>
    </row>
    <row r="58" spans="1:7" s="260" customFormat="1" ht="15.75" customHeight="1">
      <c r="A58" s="336">
        <v>381</v>
      </c>
      <c r="B58" s="337"/>
      <c r="C58" s="338" t="s">
        <v>285</v>
      </c>
      <c r="D58" s="340"/>
      <c r="E58" s="339"/>
      <c r="F58" s="340"/>
      <c r="G58" s="489"/>
    </row>
    <row r="59" spans="1:7" s="490" customFormat="1" ht="25.5">
      <c r="A59" s="278">
        <v>383</v>
      </c>
      <c r="B59" s="279"/>
      <c r="C59" s="280" t="s">
        <v>286</v>
      </c>
      <c r="D59" s="344"/>
      <c r="E59" s="343">
        <v>3330</v>
      </c>
      <c r="F59" s="344">
        <v>3330</v>
      </c>
      <c r="G59" s="380">
        <v>8529</v>
      </c>
    </row>
    <row r="60" spans="1:7" s="285" customFormat="1" ht="12.75">
      <c r="A60" s="278">
        <v>3840</v>
      </c>
      <c r="B60" s="279"/>
      <c r="C60" s="280" t="s">
        <v>287</v>
      </c>
      <c r="D60" s="346"/>
      <c r="E60" s="491">
        <v>0</v>
      </c>
      <c r="F60" s="346">
        <v>0</v>
      </c>
      <c r="G60" s="348">
        <v>0</v>
      </c>
    </row>
    <row r="61" spans="1:7" s="285" customFormat="1" ht="12.75">
      <c r="A61" s="278">
        <v>3841</v>
      </c>
      <c r="B61" s="279"/>
      <c r="C61" s="280" t="s">
        <v>288</v>
      </c>
      <c r="D61" s="346"/>
      <c r="E61" s="491">
        <v>0</v>
      </c>
      <c r="F61" s="346">
        <v>0</v>
      </c>
      <c r="G61" s="348">
        <v>0</v>
      </c>
    </row>
    <row r="62" spans="1:7" s="285" customFormat="1" ht="12.75">
      <c r="A62" s="349">
        <v>386</v>
      </c>
      <c r="B62" s="350"/>
      <c r="C62" s="351" t="s">
        <v>289</v>
      </c>
      <c r="D62" s="346"/>
      <c r="E62" s="491">
        <v>0</v>
      </c>
      <c r="F62" s="346">
        <v>0</v>
      </c>
      <c r="G62" s="348">
        <v>0</v>
      </c>
    </row>
    <row r="63" spans="1:7" s="285" customFormat="1" ht="25.5">
      <c r="A63" s="278">
        <v>387</v>
      </c>
      <c r="B63" s="279"/>
      <c r="C63" s="280" t="s">
        <v>290</v>
      </c>
      <c r="D63" s="346"/>
      <c r="E63" s="491">
        <v>0</v>
      </c>
      <c r="F63" s="346">
        <v>0</v>
      </c>
      <c r="G63" s="348">
        <v>0</v>
      </c>
    </row>
    <row r="64" spans="1:7" s="285" customFormat="1" ht="12.75">
      <c r="A64" s="274">
        <v>389</v>
      </c>
      <c r="B64" s="352"/>
      <c r="C64" s="263" t="s">
        <v>57</v>
      </c>
      <c r="D64" s="275"/>
      <c r="E64" s="275">
        <v>242.9</v>
      </c>
      <c r="F64" s="275">
        <v>312.13</v>
      </c>
      <c r="G64" s="276">
        <v>402.9</v>
      </c>
    </row>
    <row r="65" spans="1:7" s="260" customFormat="1" ht="12.75">
      <c r="A65" s="274" t="s">
        <v>291</v>
      </c>
      <c r="B65" s="262"/>
      <c r="C65" s="263" t="s">
        <v>292</v>
      </c>
      <c r="D65" s="275"/>
      <c r="E65" s="275">
        <v>0</v>
      </c>
      <c r="F65" s="275">
        <v>0</v>
      </c>
      <c r="G65" s="276">
        <v>0</v>
      </c>
    </row>
    <row r="66" spans="1:7" s="355" customFormat="1" ht="25.5">
      <c r="A66" s="492" t="s">
        <v>293</v>
      </c>
      <c r="B66" s="354"/>
      <c r="C66" s="280" t="s">
        <v>294</v>
      </c>
      <c r="D66" s="344"/>
      <c r="E66" s="344">
        <v>0</v>
      </c>
      <c r="F66" s="344">
        <v>0</v>
      </c>
      <c r="G66" s="321">
        <v>0</v>
      </c>
    </row>
    <row r="67" spans="1:7" s="260" customFormat="1" ht="12.75">
      <c r="A67" s="353">
        <v>481</v>
      </c>
      <c r="B67" s="262"/>
      <c r="C67" s="263" t="s">
        <v>295</v>
      </c>
      <c r="D67" s="275"/>
      <c r="E67" s="275">
        <v>0</v>
      </c>
      <c r="F67" s="275">
        <v>0</v>
      </c>
      <c r="G67" s="276">
        <v>0</v>
      </c>
    </row>
    <row r="68" spans="1:7" s="260" customFormat="1" ht="12.75">
      <c r="A68" s="353">
        <v>482</v>
      </c>
      <c r="B68" s="262"/>
      <c r="C68" s="263" t="s">
        <v>296</v>
      </c>
      <c r="D68" s="275"/>
      <c r="E68" s="275">
        <v>0</v>
      </c>
      <c r="F68" s="275">
        <v>0</v>
      </c>
      <c r="G68" s="276">
        <v>0</v>
      </c>
    </row>
    <row r="69" spans="1:7" s="260" customFormat="1" ht="12.75">
      <c r="A69" s="353">
        <v>483</v>
      </c>
      <c r="B69" s="262"/>
      <c r="C69" s="263" t="s">
        <v>297</v>
      </c>
      <c r="D69" s="275"/>
      <c r="E69" s="275">
        <v>0</v>
      </c>
      <c r="F69" s="275">
        <v>0</v>
      </c>
      <c r="G69" s="276">
        <v>0</v>
      </c>
    </row>
    <row r="70" spans="1:7" s="260" customFormat="1" ht="12.75">
      <c r="A70" s="353">
        <v>484</v>
      </c>
      <c r="B70" s="262"/>
      <c r="C70" s="263" t="s">
        <v>298</v>
      </c>
      <c r="D70" s="275"/>
      <c r="E70" s="275">
        <v>0</v>
      </c>
      <c r="F70" s="275">
        <v>0</v>
      </c>
      <c r="G70" s="276">
        <v>0</v>
      </c>
    </row>
    <row r="71" spans="1:7" s="260" customFormat="1" ht="12.75">
      <c r="A71" s="353">
        <v>485</v>
      </c>
      <c r="B71" s="262"/>
      <c r="C71" s="263" t="s">
        <v>299</v>
      </c>
      <c r="D71" s="275"/>
      <c r="E71" s="275">
        <v>0</v>
      </c>
      <c r="F71" s="275">
        <v>0</v>
      </c>
      <c r="G71" s="276">
        <v>0</v>
      </c>
    </row>
    <row r="72" spans="1:7" s="260" customFormat="1" ht="12.75">
      <c r="A72" s="353">
        <v>486</v>
      </c>
      <c r="B72" s="262"/>
      <c r="C72" s="263" t="s">
        <v>300</v>
      </c>
      <c r="D72" s="275"/>
      <c r="E72" s="275">
        <v>0</v>
      </c>
      <c r="F72" s="275">
        <v>0</v>
      </c>
      <c r="G72" s="276">
        <v>0</v>
      </c>
    </row>
    <row r="73" spans="1:7" s="285" customFormat="1" ht="12.75">
      <c r="A73" s="353">
        <v>487</v>
      </c>
      <c r="B73" s="269"/>
      <c r="C73" s="263" t="s">
        <v>301</v>
      </c>
      <c r="D73" s="275"/>
      <c r="E73" s="264">
        <v>0</v>
      </c>
      <c r="F73" s="275">
        <v>0</v>
      </c>
      <c r="G73" s="267">
        <v>0</v>
      </c>
    </row>
    <row r="74" spans="1:7" s="285" customFormat="1" ht="12.75">
      <c r="A74" s="353">
        <v>489</v>
      </c>
      <c r="B74" s="356"/>
      <c r="C74" s="303" t="s">
        <v>74</v>
      </c>
      <c r="D74" s="275"/>
      <c r="E74" s="264">
        <v>3796</v>
      </c>
      <c r="F74" s="275">
        <v>3566.89</v>
      </c>
      <c r="G74" s="267">
        <v>56398.365</v>
      </c>
    </row>
    <row r="75" spans="1:7" s="285" customFormat="1" ht="12.75">
      <c r="A75" s="357" t="s">
        <v>302</v>
      </c>
      <c r="B75" s="356"/>
      <c r="C75" s="330" t="s">
        <v>303</v>
      </c>
      <c r="D75" s="275"/>
      <c r="E75" s="275"/>
      <c r="F75" s="275"/>
      <c r="G75" s="276"/>
    </row>
    <row r="76" spans="1:7" ht="12.75">
      <c r="A76" s="309"/>
      <c r="B76" s="309"/>
      <c r="C76" s="310" t="s">
        <v>304</v>
      </c>
      <c r="D76" s="311">
        <f>SUM(D65:D74)-SUM(D57:D64)</f>
        <v>0</v>
      </c>
      <c r="E76" s="311">
        <f>SUM(E65:E74)-SUM(E57:E64)</f>
        <v>223.0999999999999</v>
      </c>
      <c r="F76" s="311">
        <f>SUM(F65:F74)-SUM(F57:F64)</f>
        <v>-75.24000000000024</v>
      </c>
      <c r="G76" s="311">
        <f>SUM(G65:G74)-SUM(G57:G64)</f>
        <v>47466.465</v>
      </c>
    </row>
    <row r="77" spans="1:7" ht="12.75">
      <c r="A77" s="358"/>
      <c r="B77" s="358"/>
      <c r="C77" s="310" t="s">
        <v>305</v>
      </c>
      <c r="D77" s="311">
        <f>D56+D76</f>
        <v>0</v>
      </c>
      <c r="E77" s="311">
        <f>E56+E76</f>
        <v>-3799.3500000000845</v>
      </c>
      <c r="F77" s="311">
        <f>F56+F76</f>
        <v>6037.671999999939</v>
      </c>
      <c r="G77" s="311">
        <f>G56+G76</f>
        <v>-24843.704999999885</v>
      </c>
    </row>
    <row r="78" spans="1:7" ht="12.75">
      <c r="A78" s="359">
        <v>3</v>
      </c>
      <c r="B78" s="359"/>
      <c r="C78" s="360" t="s">
        <v>306</v>
      </c>
      <c r="D78" s="361">
        <f>D20+D21+SUM(D38:D43)+SUM(D57:D64)</f>
        <v>0</v>
      </c>
      <c r="E78" s="361">
        <f>E20+E21+SUM(E38:E43)+SUM(E57:E64)</f>
        <v>1365904.933</v>
      </c>
      <c r="F78" s="361">
        <f>F20+F21+SUM(F38:F43)+SUM(F57:F64)</f>
        <v>1328341.8299999998</v>
      </c>
      <c r="G78" s="361">
        <f>G20+G21+SUM(G38:G43)+SUM(G57:G64)</f>
        <v>1431555.932</v>
      </c>
    </row>
    <row r="79" spans="1:7" ht="12.75">
      <c r="A79" s="359">
        <v>4</v>
      </c>
      <c r="B79" s="359"/>
      <c r="C79" s="360" t="s">
        <v>307</v>
      </c>
      <c r="D79" s="361">
        <f>D35+D36+SUM(D44:D53)+SUM(D65:D74)</f>
        <v>0</v>
      </c>
      <c r="E79" s="361">
        <f>E35+E36+SUM(E44:E53)+SUM(E65:E74)</f>
        <v>1362105.583</v>
      </c>
      <c r="F79" s="361">
        <f>F35+F36+SUM(F44:F53)+SUM(F65:F74)</f>
        <v>1334379.497</v>
      </c>
      <c r="G79" s="361">
        <f>G35+G36+SUM(G44:G53)+SUM(G65:G74)</f>
        <v>1406712.2270000002</v>
      </c>
    </row>
    <row r="80" spans="1:7" ht="12.75">
      <c r="A80" s="362"/>
      <c r="B80" s="362"/>
      <c r="C80" s="363"/>
      <c r="D80" s="364"/>
      <c r="E80" s="364"/>
      <c r="F80" s="364"/>
      <c r="G80" s="364"/>
    </row>
    <row r="81" spans="1:7" ht="12.75">
      <c r="A81" s="611" t="s">
        <v>308</v>
      </c>
      <c r="B81" s="612"/>
      <c r="C81" s="612"/>
      <c r="D81" s="366"/>
      <c r="E81" s="365"/>
      <c r="F81" s="366"/>
      <c r="G81" s="365"/>
    </row>
    <row r="82" spans="1:7" s="260" customFormat="1" ht="12.75">
      <c r="A82" s="367">
        <v>50</v>
      </c>
      <c r="B82" s="368"/>
      <c r="C82" s="368" t="s">
        <v>309</v>
      </c>
      <c r="D82" s="316"/>
      <c r="E82" s="275">
        <v>87373.5</v>
      </c>
      <c r="F82" s="275">
        <v>70084.25</v>
      </c>
      <c r="G82" s="276">
        <v>109236.2</v>
      </c>
    </row>
    <row r="83" spans="1:7" s="260" customFormat="1" ht="12.75">
      <c r="A83" s="367">
        <v>51</v>
      </c>
      <c r="B83" s="368"/>
      <c r="C83" s="368" t="s">
        <v>310</v>
      </c>
      <c r="D83" s="316"/>
      <c r="E83" s="275">
        <v>1800</v>
      </c>
      <c r="F83" s="275">
        <v>0</v>
      </c>
      <c r="G83" s="276">
        <v>0</v>
      </c>
    </row>
    <row r="84" spans="1:7" s="260" customFormat="1" ht="12.75">
      <c r="A84" s="367">
        <v>52</v>
      </c>
      <c r="B84" s="368"/>
      <c r="C84" s="368" t="s">
        <v>311</v>
      </c>
      <c r="D84" s="316"/>
      <c r="E84" s="275">
        <v>0</v>
      </c>
      <c r="F84" s="275">
        <v>0</v>
      </c>
      <c r="G84" s="276">
        <v>0</v>
      </c>
    </row>
    <row r="85" spans="1:7" s="260" customFormat="1" ht="12.75">
      <c r="A85" s="369">
        <v>54</v>
      </c>
      <c r="B85" s="370"/>
      <c r="C85" s="370" t="s">
        <v>312</v>
      </c>
      <c r="D85" s="316"/>
      <c r="E85" s="271">
        <v>1750</v>
      </c>
      <c r="F85" s="271">
        <v>3148.6</v>
      </c>
      <c r="G85" s="276">
        <v>4450</v>
      </c>
    </row>
    <row r="86" spans="1:7" s="260" customFormat="1" ht="12.75">
      <c r="A86" s="369">
        <v>55</v>
      </c>
      <c r="B86" s="370"/>
      <c r="C86" s="370" t="s">
        <v>313</v>
      </c>
      <c r="D86" s="316"/>
      <c r="E86" s="271">
        <v>0</v>
      </c>
      <c r="F86" s="271">
        <v>0.001</v>
      </c>
      <c r="G86" s="276">
        <v>0</v>
      </c>
    </row>
    <row r="87" spans="1:7" s="260" customFormat="1" ht="12.75">
      <c r="A87" s="369">
        <v>56</v>
      </c>
      <c r="B87" s="370"/>
      <c r="C87" s="370" t="s">
        <v>314</v>
      </c>
      <c r="D87" s="316"/>
      <c r="E87" s="271">
        <v>20247.2</v>
      </c>
      <c r="F87" s="271">
        <v>29962.8</v>
      </c>
      <c r="G87" s="276">
        <v>10388.6</v>
      </c>
    </row>
    <row r="88" spans="1:7" s="260" customFormat="1" ht="12.75">
      <c r="A88" s="367">
        <v>57</v>
      </c>
      <c r="B88" s="368"/>
      <c r="C88" s="368" t="s">
        <v>315</v>
      </c>
      <c r="D88" s="316"/>
      <c r="E88" s="275">
        <v>2424</v>
      </c>
      <c r="F88" s="275">
        <v>3824.31</v>
      </c>
      <c r="G88" s="276">
        <v>4100</v>
      </c>
    </row>
    <row r="89" spans="1:7" s="260" customFormat="1" ht="12.75">
      <c r="A89" s="367">
        <v>580</v>
      </c>
      <c r="B89" s="368"/>
      <c r="C89" s="368" t="s">
        <v>316</v>
      </c>
      <c r="D89" s="275"/>
      <c r="E89" s="275">
        <v>0</v>
      </c>
      <c r="F89" s="275">
        <v>0</v>
      </c>
      <c r="G89" s="276">
        <v>0</v>
      </c>
    </row>
    <row r="90" spans="1:7" s="260" customFormat="1" ht="12.75">
      <c r="A90" s="367">
        <v>582</v>
      </c>
      <c r="B90" s="368"/>
      <c r="C90" s="368" t="s">
        <v>317</v>
      </c>
      <c r="D90" s="275"/>
      <c r="E90" s="275">
        <v>0</v>
      </c>
      <c r="F90" s="275">
        <v>0</v>
      </c>
      <c r="G90" s="276">
        <v>0</v>
      </c>
    </row>
    <row r="91" spans="1:7" s="260" customFormat="1" ht="12.75">
      <c r="A91" s="367">
        <v>584</v>
      </c>
      <c r="B91" s="368"/>
      <c r="C91" s="368" t="s">
        <v>318</v>
      </c>
      <c r="D91" s="275"/>
      <c r="E91" s="275">
        <v>0</v>
      </c>
      <c r="F91" s="275">
        <v>0</v>
      </c>
      <c r="G91" s="276">
        <v>0</v>
      </c>
    </row>
    <row r="92" spans="1:7" s="260" customFormat="1" ht="12.75">
      <c r="A92" s="367">
        <v>585</v>
      </c>
      <c r="B92" s="368"/>
      <c r="C92" s="368" t="s">
        <v>319</v>
      </c>
      <c r="D92" s="275"/>
      <c r="E92" s="275">
        <v>0</v>
      </c>
      <c r="F92" s="275">
        <v>0</v>
      </c>
      <c r="G92" s="276">
        <v>0</v>
      </c>
    </row>
    <row r="93" spans="1:7" s="260" customFormat="1" ht="12.75">
      <c r="A93" s="367">
        <v>586</v>
      </c>
      <c r="B93" s="368"/>
      <c r="C93" s="368" t="s">
        <v>320</v>
      </c>
      <c r="D93" s="275"/>
      <c r="E93" s="275">
        <v>0</v>
      </c>
      <c r="F93" s="275">
        <v>0</v>
      </c>
      <c r="G93" s="276">
        <v>0</v>
      </c>
    </row>
    <row r="94" spans="1:7" s="260" customFormat="1" ht="12.75">
      <c r="A94" s="371">
        <v>589</v>
      </c>
      <c r="B94" s="372"/>
      <c r="C94" s="372" t="s">
        <v>321</v>
      </c>
      <c r="D94" s="306"/>
      <c r="E94" s="306">
        <v>0</v>
      </c>
      <c r="F94" s="306">
        <v>0</v>
      </c>
      <c r="G94" s="308">
        <v>0</v>
      </c>
    </row>
    <row r="95" spans="1:7" ht="12.75">
      <c r="A95" s="374">
        <v>5</v>
      </c>
      <c r="B95" s="375"/>
      <c r="C95" s="375" t="s">
        <v>322</v>
      </c>
      <c r="D95" s="376">
        <f>SUM(D82:D94)</f>
        <v>0</v>
      </c>
      <c r="E95" s="376">
        <f>SUM(E82:E94)</f>
        <v>113594.7</v>
      </c>
      <c r="F95" s="376">
        <f>SUM(F82:F94)</f>
        <v>107019.96100000001</v>
      </c>
      <c r="G95" s="376">
        <f>SUM(G82:G94)</f>
        <v>128174.8</v>
      </c>
    </row>
    <row r="96" spans="1:7" s="260" customFormat="1" ht="12.75">
      <c r="A96" s="367">
        <v>60</v>
      </c>
      <c r="B96" s="368"/>
      <c r="C96" s="368" t="s">
        <v>323</v>
      </c>
      <c r="D96" s="316"/>
      <c r="E96" s="275">
        <v>0</v>
      </c>
      <c r="F96" s="275">
        <v>12.34</v>
      </c>
      <c r="G96" s="276">
        <v>5</v>
      </c>
    </row>
    <row r="97" spans="1:7" s="260" customFormat="1" ht="12.75">
      <c r="A97" s="367">
        <v>61</v>
      </c>
      <c r="B97" s="368"/>
      <c r="C97" s="368" t="s">
        <v>324</v>
      </c>
      <c r="D97" s="316"/>
      <c r="E97" s="275">
        <v>1800</v>
      </c>
      <c r="F97" s="275">
        <v>0</v>
      </c>
      <c r="G97" s="276">
        <v>0</v>
      </c>
    </row>
    <row r="98" spans="1:7" s="260" customFormat="1" ht="12.75">
      <c r="A98" s="367">
        <v>62</v>
      </c>
      <c r="B98" s="368"/>
      <c r="C98" s="368" t="s">
        <v>325</v>
      </c>
      <c r="D98" s="316"/>
      <c r="E98" s="275">
        <v>0</v>
      </c>
      <c r="F98" s="275">
        <v>0</v>
      </c>
      <c r="G98" s="276">
        <v>0</v>
      </c>
    </row>
    <row r="99" spans="1:7" s="260" customFormat="1" ht="12.75">
      <c r="A99" s="367">
        <v>63</v>
      </c>
      <c r="B99" s="368"/>
      <c r="C99" s="368" t="s">
        <v>326</v>
      </c>
      <c r="D99" s="316"/>
      <c r="E99" s="275">
        <v>15043</v>
      </c>
      <c r="F99" s="275">
        <v>12788.62</v>
      </c>
      <c r="G99" s="276">
        <v>12105.5</v>
      </c>
    </row>
    <row r="100" spans="1:7" s="260" customFormat="1" ht="12.75">
      <c r="A100" s="367">
        <v>64</v>
      </c>
      <c r="B100" s="368"/>
      <c r="C100" s="368" t="s">
        <v>327</v>
      </c>
      <c r="D100" s="316"/>
      <c r="E100" s="271">
        <v>350</v>
      </c>
      <c r="F100" s="271">
        <v>9781.74</v>
      </c>
      <c r="G100" s="276">
        <v>3150</v>
      </c>
    </row>
    <row r="101" spans="1:7" s="260" customFormat="1" ht="12.75">
      <c r="A101" s="367">
        <v>65</v>
      </c>
      <c r="B101" s="368"/>
      <c r="C101" s="368" t="s">
        <v>328</v>
      </c>
      <c r="D101" s="316"/>
      <c r="E101" s="275">
        <v>0</v>
      </c>
      <c r="F101" s="275">
        <v>0</v>
      </c>
      <c r="G101" s="276">
        <v>0</v>
      </c>
    </row>
    <row r="102" spans="1:7" s="260" customFormat="1" ht="12.75">
      <c r="A102" s="367">
        <v>66</v>
      </c>
      <c r="B102" s="368"/>
      <c r="C102" s="368" t="s">
        <v>329</v>
      </c>
      <c r="D102" s="316"/>
      <c r="E102" s="271">
        <v>0</v>
      </c>
      <c r="F102" s="271">
        <v>0</v>
      </c>
      <c r="G102" s="276">
        <v>0</v>
      </c>
    </row>
    <row r="103" spans="1:7" s="260" customFormat="1" ht="12.75">
      <c r="A103" s="367">
        <v>67</v>
      </c>
      <c r="B103" s="368"/>
      <c r="C103" s="368" t="s">
        <v>315</v>
      </c>
      <c r="D103" s="316"/>
      <c r="E103" s="275">
        <v>2424</v>
      </c>
      <c r="F103" s="275">
        <v>3824.31</v>
      </c>
      <c r="G103" s="267">
        <v>4100</v>
      </c>
    </row>
    <row r="104" spans="1:7" s="260" customFormat="1" ht="25.5">
      <c r="A104" s="377" t="s">
        <v>330</v>
      </c>
      <c r="B104" s="368"/>
      <c r="C104" s="378" t="s">
        <v>331</v>
      </c>
      <c r="D104" s="264"/>
      <c r="E104" s="264">
        <v>0</v>
      </c>
      <c r="F104" s="264">
        <v>0</v>
      </c>
      <c r="G104" s="267">
        <v>0</v>
      </c>
    </row>
    <row r="105" spans="1:7" s="260" customFormat="1" ht="38.25">
      <c r="A105" s="381" t="s">
        <v>332</v>
      </c>
      <c r="B105" s="372"/>
      <c r="C105" s="382" t="s">
        <v>333</v>
      </c>
      <c r="D105" s="304"/>
      <c r="E105" s="304">
        <v>0</v>
      </c>
      <c r="F105" s="304">
        <v>0</v>
      </c>
      <c r="G105" s="486">
        <v>0</v>
      </c>
    </row>
    <row r="106" spans="1:7" ht="12.75">
      <c r="A106" s="374">
        <v>6</v>
      </c>
      <c r="B106" s="375"/>
      <c r="C106" s="375" t="s">
        <v>334</v>
      </c>
      <c r="D106" s="376">
        <f>SUM(D96:D105)</f>
        <v>0</v>
      </c>
      <c r="E106" s="376">
        <f>SUM(E96:E105)</f>
        <v>19617</v>
      </c>
      <c r="F106" s="376">
        <f>SUM(F96:F105)</f>
        <v>26407.010000000002</v>
      </c>
      <c r="G106" s="376">
        <f>SUM(G96:G105)</f>
        <v>19360.5</v>
      </c>
    </row>
    <row r="107" spans="1:7" ht="12.75">
      <c r="A107" s="386" t="s">
        <v>335</v>
      </c>
      <c r="B107" s="386"/>
      <c r="C107" s="375" t="s">
        <v>3</v>
      </c>
      <c r="D107" s="376">
        <f>(D95-D88)-(D106-D103)</f>
        <v>0</v>
      </c>
      <c r="E107" s="376">
        <f>(E95-E88)-(E106-E103)</f>
        <v>93977.7</v>
      </c>
      <c r="F107" s="376">
        <f>(F95-F88)-(F106-F103)</f>
        <v>80612.95100000002</v>
      </c>
      <c r="G107" s="376">
        <f>(G95-G88)-(G106-G103)</f>
        <v>108814.3</v>
      </c>
    </row>
    <row r="108" spans="1:7" ht="12.75">
      <c r="A108" s="387" t="s">
        <v>336</v>
      </c>
      <c r="B108" s="387"/>
      <c r="C108" s="388" t="s">
        <v>337</v>
      </c>
      <c r="D108" s="389">
        <f>D107-D85-D86+D100+D101</f>
        <v>0</v>
      </c>
      <c r="E108" s="389">
        <f>E107-E85-E86+E100+E101</f>
        <v>92577.7</v>
      </c>
      <c r="F108" s="389">
        <f>F107-F85-F86+F100+F101</f>
        <v>87246.09000000001</v>
      </c>
      <c r="G108" s="389">
        <f>G107-G85-G86+G100+G101</f>
        <v>107514.3</v>
      </c>
    </row>
    <row r="109" spans="1:7" ht="12.75">
      <c r="A109" s="362"/>
      <c r="B109" s="362"/>
      <c r="C109" s="363"/>
      <c r="D109" s="364"/>
      <c r="E109" s="364"/>
      <c r="F109" s="364"/>
      <c r="G109" s="364"/>
    </row>
    <row r="110" spans="1:7" s="250" customFormat="1" ht="12.75">
      <c r="A110" s="390" t="s">
        <v>338</v>
      </c>
      <c r="B110" s="391"/>
      <c r="C110" s="390"/>
      <c r="D110" s="364"/>
      <c r="E110" s="364"/>
      <c r="F110" s="364"/>
      <c r="G110" s="364"/>
    </row>
    <row r="111" spans="1:7" s="396" customFormat="1" ht="12.75">
      <c r="A111" s="392">
        <v>10</v>
      </c>
      <c r="B111" s="393"/>
      <c r="C111" s="393" t="s">
        <v>339</v>
      </c>
      <c r="D111" s="394">
        <f>D112+D117</f>
        <v>0</v>
      </c>
      <c r="E111" s="493">
        <f>E112+E117</f>
        <v>0</v>
      </c>
      <c r="F111" s="394">
        <f>F112+F117</f>
        <v>1483467.5300000003</v>
      </c>
      <c r="G111" s="395">
        <f>G112+G117</f>
        <v>0</v>
      </c>
    </row>
    <row r="112" spans="1:7" s="396" customFormat="1" ht="12.75">
      <c r="A112" s="397" t="s">
        <v>340</v>
      </c>
      <c r="B112" s="398"/>
      <c r="C112" s="398" t="s">
        <v>341</v>
      </c>
      <c r="D112" s="394">
        <f>D113+D114+D115+D116</f>
        <v>0</v>
      </c>
      <c r="E112" s="493">
        <f>E113+E114+E115+E116</f>
        <v>0</v>
      </c>
      <c r="F112" s="394">
        <f>F113+F114+F115+F116</f>
        <v>1363750.2300000002</v>
      </c>
      <c r="G112" s="395">
        <f>G113+G114+G115+G116</f>
        <v>0</v>
      </c>
    </row>
    <row r="113" spans="1:7" s="396" customFormat="1" ht="12.75">
      <c r="A113" s="410" t="s">
        <v>342</v>
      </c>
      <c r="B113" s="411"/>
      <c r="C113" s="411" t="s">
        <v>343</v>
      </c>
      <c r="D113" s="275"/>
      <c r="E113" s="316"/>
      <c r="F113" s="275">
        <v>795070.16</v>
      </c>
      <c r="G113" s="277"/>
    </row>
    <row r="114" spans="1:7" s="406" customFormat="1" ht="15" customHeight="1">
      <c r="A114" s="414">
        <v>102</v>
      </c>
      <c r="B114" s="494"/>
      <c r="C114" s="494" t="s">
        <v>344</v>
      </c>
      <c r="D114" s="344"/>
      <c r="E114" s="344"/>
      <c r="F114" s="344">
        <v>550000</v>
      </c>
      <c r="G114" s="495"/>
    </row>
    <row r="115" spans="1:7" s="396" customFormat="1" ht="12.75">
      <c r="A115" s="410">
        <v>104</v>
      </c>
      <c r="B115" s="411"/>
      <c r="C115" s="411" t="s">
        <v>345</v>
      </c>
      <c r="D115" s="275"/>
      <c r="E115" s="316"/>
      <c r="F115" s="275">
        <v>17514.3</v>
      </c>
      <c r="G115" s="277"/>
    </row>
    <row r="116" spans="1:7" s="396" customFormat="1" ht="12.75">
      <c r="A116" s="410">
        <v>106</v>
      </c>
      <c r="B116" s="411"/>
      <c r="C116" s="411" t="s">
        <v>346</v>
      </c>
      <c r="D116" s="275"/>
      <c r="E116" s="316"/>
      <c r="F116" s="275">
        <v>1165.77</v>
      </c>
      <c r="G116" s="277"/>
    </row>
    <row r="117" spans="1:7" s="396" customFormat="1" ht="12.75">
      <c r="A117" s="397" t="s">
        <v>347</v>
      </c>
      <c r="B117" s="398"/>
      <c r="C117" s="398" t="s">
        <v>348</v>
      </c>
      <c r="D117" s="394">
        <f>D118+D119+D120</f>
        <v>0</v>
      </c>
      <c r="E117" s="493">
        <f>E118+E119+E120</f>
        <v>0</v>
      </c>
      <c r="F117" s="394">
        <f>F118+F119+F120</f>
        <v>119717.3</v>
      </c>
      <c r="G117" s="395">
        <f>G118+G119+G120</f>
        <v>0</v>
      </c>
    </row>
    <row r="118" spans="1:7" s="396" customFormat="1" ht="12.75">
      <c r="A118" s="410">
        <v>107</v>
      </c>
      <c r="B118" s="411"/>
      <c r="C118" s="411" t="s">
        <v>349</v>
      </c>
      <c r="D118" s="275"/>
      <c r="E118" s="316"/>
      <c r="F118" s="275">
        <v>29055</v>
      </c>
      <c r="G118" s="277"/>
    </row>
    <row r="119" spans="1:7" s="396" customFormat="1" ht="12.75">
      <c r="A119" s="410">
        <v>108</v>
      </c>
      <c r="B119" s="411"/>
      <c r="C119" s="411" t="s">
        <v>350</v>
      </c>
      <c r="D119" s="275"/>
      <c r="E119" s="316"/>
      <c r="F119" s="275">
        <v>90662.3</v>
      </c>
      <c r="G119" s="277"/>
    </row>
    <row r="120" spans="1:7" s="409" customFormat="1" ht="25.5">
      <c r="A120" s="414">
        <v>109</v>
      </c>
      <c r="B120" s="415"/>
      <c r="C120" s="415" t="s">
        <v>351</v>
      </c>
      <c r="D120" s="281"/>
      <c r="E120" s="281"/>
      <c r="F120" s="281">
        <v>0</v>
      </c>
      <c r="G120" s="496"/>
    </row>
    <row r="121" spans="1:7" s="396" customFormat="1" ht="12.75">
      <c r="A121" s="397">
        <v>14</v>
      </c>
      <c r="B121" s="398"/>
      <c r="C121" s="398" t="s">
        <v>352</v>
      </c>
      <c r="D121" s="394">
        <f>SUM(D122:D130)</f>
        <v>0</v>
      </c>
      <c r="E121" s="394">
        <f>SUM(E122:E130)</f>
        <v>0</v>
      </c>
      <c r="F121" s="394">
        <f>SUM(F122:F130)</f>
        <v>442439.37</v>
      </c>
      <c r="G121" s="394">
        <f>SUM(G122:G130)</f>
        <v>0</v>
      </c>
    </row>
    <row r="122" spans="1:7" s="396" customFormat="1" ht="12.75">
      <c r="A122" s="410" t="s">
        <v>353</v>
      </c>
      <c r="B122" s="411"/>
      <c r="C122" s="411" t="s">
        <v>354</v>
      </c>
      <c r="D122" s="275"/>
      <c r="E122" s="316"/>
      <c r="F122" s="275">
        <v>237489</v>
      </c>
      <c r="G122" s="277"/>
    </row>
    <row r="123" spans="1:7" s="396" customFormat="1" ht="12.75">
      <c r="A123" s="410">
        <v>144</v>
      </c>
      <c r="B123" s="411"/>
      <c r="C123" s="411" t="s">
        <v>312</v>
      </c>
      <c r="D123" s="275"/>
      <c r="E123" s="316"/>
      <c r="F123" s="275">
        <v>39635.37</v>
      </c>
      <c r="G123" s="277"/>
    </row>
    <row r="124" spans="1:7" s="396" customFormat="1" ht="12.75">
      <c r="A124" s="410">
        <v>145</v>
      </c>
      <c r="B124" s="411"/>
      <c r="C124" s="411" t="s">
        <v>355</v>
      </c>
      <c r="D124" s="275"/>
      <c r="E124" s="316"/>
      <c r="F124" s="275">
        <v>72112</v>
      </c>
      <c r="G124" s="413"/>
    </row>
    <row r="125" spans="1:7" s="396" customFormat="1" ht="12.75">
      <c r="A125" s="410">
        <v>146</v>
      </c>
      <c r="B125" s="411"/>
      <c r="C125" s="411" t="s">
        <v>356</v>
      </c>
      <c r="D125" s="275"/>
      <c r="E125" s="316"/>
      <c r="F125" s="275">
        <v>93203</v>
      </c>
      <c r="G125" s="413"/>
    </row>
    <row r="126" spans="1:7" s="409" customFormat="1" ht="29.25" customHeight="1">
      <c r="A126" s="414" t="s">
        <v>357</v>
      </c>
      <c r="B126" s="415"/>
      <c r="C126" s="415" t="s">
        <v>358</v>
      </c>
      <c r="D126" s="281"/>
      <c r="E126" s="281"/>
      <c r="F126" s="281">
        <v>0</v>
      </c>
      <c r="G126" s="417"/>
    </row>
    <row r="127" spans="1:7" s="396" customFormat="1" ht="12.75">
      <c r="A127" s="410">
        <v>1484</v>
      </c>
      <c r="B127" s="411"/>
      <c r="C127" s="411" t="s">
        <v>359</v>
      </c>
      <c r="D127" s="275"/>
      <c r="E127" s="316"/>
      <c r="F127" s="275">
        <v>0</v>
      </c>
      <c r="G127" s="413"/>
    </row>
    <row r="128" spans="1:7" s="396" customFormat="1" ht="12.75">
      <c r="A128" s="410">
        <v>1485</v>
      </c>
      <c r="B128" s="411"/>
      <c r="C128" s="411" t="s">
        <v>360</v>
      </c>
      <c r="D128" s="275"/>
      <c r="E128" s="316"/>
      <c r="F128" s="275">
        <v>0</v>
      </c>
      <c r="G128" s="413"/>
    </row>
    <row r="129" spans="1:7" s="396" customFormat="1" ht="12.75">
      <c r="A129" s="410">
        <v>1486</v>
      </c>
      <c r="B129" s="411"/>
      <c r="C129" s="411" t="s">
        <v>361</v>
      </c>
      <c r="D129" s="275"/>
      <c r="E129" s="316"/>
      <c r="F129" s="275">
        <v>0</v>
      </c>
      <c r="G129" s="413"/>
    </row>
    <row r="130" spans="1:7" s="396" customFormat="1" ht="12.75">
      <c r="A130" s="418">
        <v>1489</v>
      </c>
      <c r="B130" s="419"/>
      <c r="C130" s="419" t="s">
        <v>362</v>
      </c>
      <c r="D130" s="306"/>
      <c r="E130" s="497"/>
      <c r="F130" s="306">
        <v>0</v>
      </c>
      <c r="G130" s="421"/>
    </row>
    <row r="131" spans="1:7" s="250" customFormat="1" ht="12.75">
      <c r="A131" s="422">
        <v>1</v>
      </c>
      <c r="B131" s="423"/>
      <c r="C131" s="422" t="s">
        <v>363</v>
      </c>
      <c r="D131" s="424">
        <f>D111+D121</f>
        <v>0</v>
      </c>
      <c r="E131" s="424">
        <f>E111+E121</f>
        <v>0</v>
      </c>
      <c r="F131" s="424">
        <f>F111+F121</f>
        <v>1925906.9000000004</v>
      </c>
      <c r="G131" s="424">
        <f>G111+G121</f>
        <v>0</v>
      </c>
    </row>
    <row r="132" spans="1:7" s="250" customFormat="1" ht="12.75">
      <c r="A132" s="362"/>
      <c r="B132" s="362"/>
      <c r="C132" s="363"/>
      <c r="D132" s="364"/>
      <c r="E132" s="364"/>
      <c r="F132" s="364"/>
      <c r="G132" s="364"/>
    </row>
    <row r="133" spans="1:7" s="396" customFormat="1" ht="12.75">
      <c r="A133" s="392">
        <v>20</v>
      </c>
      <c r="B133" s="393"/>
      <c r="C133" s="393" t="s">
        <v>364</v>
      </c>
      <c r="D133" s="425">
        <f>D134+D140</f>
        <v>0</v>
      </c>
      <c r="E133" s="425">
        <f>E134+E140</f>
        <v>0</v>
      </c>
      <c r="F133" s="425">
        <f>F134+F140</f>
        <v>721913.79</v>
      </c>
      <c r="G133" s="426">
        <f>G134+G140</f>
        <v>0</v>
      </c>
    </row>
    <row r="134" spans="1:7" s="396" customFormat="1" ht="12.75">
      <c r="A134" s="427" t="s">
        <v>365</v>
      </c>
      <c r="B134" s="398"/>
      <c r="C134" s="398" t="s">
        <v>366</v>
      </c>
      <c r="D134" s="394">
        <f>D135+D136+D138+D139</f>
        <v>0</v>
      </c>
      <c r="E134" s="394">
        <f>E135+E136+E138+E139</f>
        <v>0</v>
      </c>
      <c r="F134" s="394">
        <f>F135+F136+F138+F139</f>
        <v>701149.9</v>
      </c>
      <c r="G134" s="395">
        <f>G135+G136+G138+G139</f>
        <v>0</v>
      </c>
    </row>
    <row r="135" spans="1:7" s="429" customFormat="1" ht="12.75">
      <c r="A135" s="428">
        <v>200</v>
      </c>
      <c r="B135" s="411"/>
      <c r="C135" s="411" t="s">
        <v>367</v>
      </c>
      <c r="D135" s="275"/>
      <c r="E135" s="275"/>
      <c r="F135" s="275">
        <v>636550.42</v>
      </c>
      <c r="G135" s="277"/>
    </row>
    <row r="136" spans="1:7" s="429" customFormat="1" ht="12.75">
      <c r="A136" s="428">
        <v>201</v>
      </c>
      <c r="B136" s="411"/>
      <c r="C136" s="411" t="s">
        <v>368</v>
      </c>
      <c r="D136" s="275"/>
      <c r="E136" s="275"/>
      <c r="F136" s="275">
        <v>0</v>
      </c>
      <c r="G136" s="277"/>
    </row>
    <row r="137" spans="1:7" s="429" customFormat="1" ht="12.75">
      <c r="A137" s="430" t="s">
        <v>369</v>
      </c>
      <c r="B137" s="400"/>
      <c r="C137" s="400" t="s">
        <v>370</v>
      </c>
      <c r="D137" s="271"/>
      <c r="E137" s="271"/>
      <c r="F137" s="271">
        <v>0</v>
      </c>
      <c r="G137" s="401"/>
    </row>
    <row r="138" spans="1:7" s="429" customFormat="1" ht="12.75">
      <c r="A138" s="428">
        <v>204</v>
      </c>
      <c r="B138" s="411"/>
      <c r="C138" s="411" t="s">
        <v>371</v>
      </c>
      <c r="D138" s="275"/>
      <c r="E138" s="275"/>
      <c r="F138" s="275">
        <v>54936.48</v>
      </c>
      <c r="G138" s="413"/>
    </row>
    <row r="139" spans="1:7" s="429" customFormat="1" ht="12.75">
      <c r="A139" s="428">
        <v>205</v>
      </c>
      <c r="B139" s="411"/>
      <c r="C139" s="411" t="s">
        <v>372</v>
      </c>
      <c r="D139" s="275"/>
      <c r="E139" s="275"/>
      <c r="F139" s="275">
        <v>9663</v>
      </c>
      <c r="G139" s="413"/>
    </row>
    <row r="140" spans="1:7" s="429" customFormat="1" ht="12.75">
      <c r="A140" s="427" t="s">
        <v>373</v>
      </c>
      <c r="B140" s="398"/>
      <c r="C140" s="398" t="s">
        <v>374</v>
      </c>
      <c r="D140" s="394">
        <f>D141+D143+D144</f>
        <v>0</v>
      </c>
      <c r="E140" s="394">
        <f>E141+E143+E144</f>
        <v>0</v>
      </c>
      <c r="F140" s="394">
        <f>F141+F143+F144</f>
        <v>20763.89</v>
      </c>
      <c r="G140" s="395">
        <f>G141+G143+G144</f>
        <v>0</v>
      </c>
    </row>
    <row r="141" spans="1:7" s="429" customFormat="1" ht="12.75">
      <c r="A141" s="428">
        <v>206</v>
      </c>
      <c r="B141" s="411"/>
      <c r="C141" s="411" t="s">
        <v>375</v>
      </c>
      <c r="D141" s="275"/>
      <c r="E141" s="275"/>
      <c r="F141" s="275">
        <v>20639.39</v>
      </c>
      <c r="G141" s="413"/>
    </row>
    <row r="142" spans="1:7" s="429" customFormat="1" ht="12.75">
      <c r="A142" s="430" t="s">
        <v>376</v>
      </c>
      <c r="B142" s="400"/>
      <c r="C142" s="400" t="s">
        <v>377</v>
      </c>
      <c r="D142" s="271"/>
      <c r="E142" s="271"/>
      <c r="F142" s="271">
        <v>0</v>
      </c>
      <c r="G142" s="401"/>
    </row>
    <row r="143" spans="1:7" s="429" customFormat="1" ht="12.75">
      <c r="A143" s="428">
        <v>208</v>
      </c>
      <c r="B143" s="411"/>
      <c r="C143" s="411" t="s">
        <v>378</v>
      </c>
      <c r="D143" s="275"/>
      <c r="E143" s="275"/>
      <c r="F143" s="275">
        <v>124.5</v>
      </c>
      <c r="G143" s="413"/>
    </row>
    <row r="144" spans="1:7" s="433" customFormat="1" ht="25.5">
      <c r="A144" s="414">
        <v>209</v>
      </c>
      <c r="B144" s="415"/>
      <c r="C144" s="415" t="s">
        <v>379</v>
      </c>
      <c r="D144" s="281"/>
      <c r="E144" s="281"/>
      <c r="F144" s="281">
        <v>0</v>
      </c>
      <c r="G144" s="417"/>
    </row>
    <row r="145" spans="1:7" s="396" customFormat="1" ht="12.75">
      <c r="A145" s="427">
        <v>29</v>
      </c>
      <c r="B145" s="398"/>
      <c r="C145" s="398" t="s">
        <v>380</v>
      </c>
      <c r="D145" s="412"/>
      <c r="E145" s="412"/>
      <c r="F145" s="412">
        <v>1203993.13</v>
      </c>
      <c r="G145" s="413"/>
    </row>
    <row r="146" spans="1:7" s="396" customFormat="1" ht="12.75">
      <c r="A146" s="434" t="s">
        <v>381</v>
      </c>
      <c r="B146" s="435"/>
      <c r="C146" s="435" t="s">
        <v>382</v>
      </c>
      <c r="D146" s="332"/>
      <c r="E146" s="332"/>
      <c r="F146" s="332">
        <v>515356.63</v>
      </c>
      <c r="G146" s="436"/>
    </row>
    <row r="147" spans="1:7" s="250" customFormat="1" ht="12.75">
      <c r="A147" s="422">
        <v>2</v>
      </c>
      <c r="B147" s="423"/>
      <c r="C147" s="422" t="s">
        <v>383</v>
      </c>
      <c r="D147" s="424">
        <f>D133+D145</f>
        <v>0</v>
      </c>
      <c r="E147" s="424">
        <f>E133+E145</f>
        <v>0</v>
      </c>
      <c r="F147" s="424">
        <f>F133+F145</f>
        <v>1925906.92</v>
      </c>
      <c r="G147" s="424">
        <f>G133+G145</f>
        <v>0</v>
      </c>
    </row>
    <row r="148" spans="4:6" ht="7.5" customHeight="1">
      <c r="D148" s="250"/>
      <c r="F148" s="250"/>
    </row>
    <row r="149" spans="1:7" ht="13.5" customHeight="1">
      <c r="A149" s="437" t="s">
        <v>384</v>
      </c>
      <c r="B149" s="438"/>
      <c r="C149" s="439" t="s">
        <v>385</v>
      </c>
      <c r="D149" s="438"/>
      <c r="E149" s="438"/>
      <c r="F149" s="438"/>
      <c r="G149" s="438"/>
    </row>
    <row r="150" spans="1:7" ht="12.75">
      <c r="A150" s="440" t="s">
        <v>386</v>
      </c>
      <c r="B150" s="441"/>
      <c r="C150" s="441" t="s">
        <v>97</v>
      </c>
      <c r="D150" s="442">
        <f>D77+SUM(D8:D12)-D30-D31+D16-D33+D59+D63-D73+D64-D74-D54+D20-D35</f>
        <v>0</v>
      </c>
      <c r="E150" s="442">
        <f>E77+SUM(E8:E12)-E30-E31+E16-E33+E59+E63-E73+E64-E74-E54+E20-E35</f>
        <v>80048.63799999992</v>
      </c>
      <c r="F150" s="442">
        <f>F77+SUM(F8:F12)-F30-F31+F16-F33+F59+F63-F73+F64-F74-F54+F20-F35</f>
        <v>85073.91699999994</v>
      </c>
      <c r="G150" s="442">
        <f>G77+SUM(G8:G12)-G30-G31+G16-G33+G59+G63-G73+G64-G74-G54+G20-G35</f>
        <v>15451.617000000108</v>
      </c>
    </row>
    <row r="151" spans="1:7" ht="12.75">
      <c r="A151" s="443" t="s">
        <v>387</v>
      </c>
      <c r="B151" s="444"/>
      <c r="C151" s="444" t="s">
        <v>388</v>
      </c>
      <c r="D151" s="445">
        <f>IF(D177=0,0,D150/D177)</f>
        <v>0</v>
      </c>
      <c r="E151" s="445">
        <f>IF(E177=0,0,E150/E177)</f>
        <v>0.06281629425112438</v>
      </c>
      <c r="F151" s="445">
        <f>IF(F177=0,0,F150/F177)</f>
        <v>0.06805069172115</v>
      </c>
      <c r="G151" s="445">
        <f>IF(G177=0,0,G150/G177)</f>
        <v>0.012198812714413624</v>
      </c>
    </row>
    <row r="152" spans="1:7" s="449" customFormat="1" ht="25.5">
      <c r="A152" s="446" t="s">
        <v>389</v>
      </c>
      <c r="B152" s="447"/>
      <c r="C152" s="447" t="s">
        <v>390</v>
      </c>
      <c r="D152" s="448">
        <f>IF(IF(D107=0,0,D$150/D107)&lt;0,"negativ",(IF(D107=0,0,D$150/D107)))</f>
        <v>0</v>
      </c>
      <c r="E152" s="448">
        <f>IF(IF(E107=0,0,E$150/E107)&lt;0,"negativ",(IF(E107=0,0,E$150/E107)))</f>
        <v>0.8517833273212679</v>
      </c>
      <c r="F152" s="448">
        <f>IF(IF(F107=0,0,F$150/F107)&lt;0,"negativ",(IF(F107=0,0,F$150/F107)))</f>
        <v>1.05533808085006</v>
      </c>
      <c r="G152" s="448">
        <f>IF(IF(G107=0,0,G$150/G107)&lt;0,"negativ",(IF(G107=0,0,G$150/G107)))</f>
        <v>0.14199987501642805</v>
      </c>
    </row>
    <row r="153" spans="1:7" s="449" customFormat="1" ht="25.5">
      <c r="A153" s="450" t="s">
        <v>389</v>
      </c>
      <c r="B153" s="451"/>
      <c r="C153" s="451" t="s">
        <v>391</v>
      </c>
      <c r="D153" s="452">
        <f>IF(IF(D108=0,0,D$150/D108)&lt;0,"negativ",(IF(D108=0,0,D$150/D108)))</f>
        <v>0</v>
      </c>
      <c r="E153" s="452">
        <f>IF(IF(E108=0,0,E$150/E108)&lt;0,"negativ",(IF(E108=0,0,E$150/E108)))</f>
        <v>0.8646643630161467</v>
      </c>
      <c r="F153" s="452">
        <f>IF(IF(F108=0,0,F$150/F108)&lt;0,"negativ",(IF(F108=0,0,F$150/F108)))</f>
        <v>0.9751029186522849</v>
      </c>
      <c r="G153" s="452">
        <f>IF(IF(G108=0,0,G$150/G108)&lt;0,"negativ",(IF(G108=0,0,G$150/G108)))</f>
        <v>0.1437168544091354</v>
      </c>
    </row>
    <row r="154" spans="1:7" ht="25.5">
      <c r="A154" s="453" t="s">
        <v>392</v>
      </c>
      <c r="B154" s="454"/>
      <c r="C154" s="454" t="s">
        <v>393</v>
      </c>
      <c r="D154" s="455">
        <f>D150-D107</f>
        <v>0</v>
      </c>
      <c r="E154" s="455">
        <f>E150-E107</f>
        <v>-13929.062000000078</v>
      </c>
      <c r="F154" s="455">
        <f>F150-F107</f>
        <v>4460.965999999928</v>
      </c>
      <c r="G154" s="455">
        <f>G150-G107</f>
        <v>-93362.6829999999</v>
      </c>
    </row>
    <row r="155" spans="1:7" ht="25.5">
      <c r="A155" s="450" t="s">
        <v>394</v>
      </c>
      <c r="B155" s="451"/>
      <c r="C155" s="451" t="s">
        <v>395</v>
      </c>
      <c r="D155" s="456">
        <f>D150-D108</f>
        <v>0</v>
      </c>
      <c r="E155" s="456">
        <f>E150-E108</f>
        <v>-12529.062000000078</v>
      </c>
      <c r="F155" s="456">
        <f>F150-F108</f>
        <v>-2172.173000000068</v>
      </c>
      <c r="G155" s="456">
        <f>G150-G108</f>
        <v>-92062.6829999999</v>
      </c>
    </row>
    <row r="156" spans="1:7" ht="12.75">
      <c r="A156" s="440" t="s">
        <v>396</v>
      </c>
      <c r="B156" s="441"/>
      <c r="C156" s="441" t="s">
        <v>397</v>
      </c>
      <c r="D156" s="457">
        <f>D135+D136-D137+D141-D142</f>
        <v>0</v>
      </c>
      <c r="E156" s="457">
        <f>E135+E136-E137+E141-E142</f>
        <v>0</v>
      </c>
      <c r="F156" s="457">
        <f>F135+F136-F137+F141-F142</f>
        <v>657189.81</v>
      </c>
      <c r="G156" s="457">
        <f>G135+G136-G137+G141-G142</f>
        <v>0</v>
      </c>
    </row>
    <row r="157" spans="1:7" ht="12.75">
      <c r="A157" s="458" t="s">
        <v>398</v>
      </c>
      <c r="B157" s="459"/>
      <c r="C157" s="459" t="s">
        <v>399</v>
      </c>
      <c r="D157" s="460">
        <f>IF(D177=0,0,D156/D177)</f>
        <v>0</v>
      </c>
      <c r="E157" s="460">
        <f>IF(E177=0,0,E156/E177)</f>
        <v>0</v>
      </c>
      <c r="F157" s="460">
        <f>IF(F177=0,0,F156/F177)</f>
        <v>0.5256866351009931</v>
      </c>
      <c r="G157" s="460">
        <f>IF(G177=0,0,G156/G177)</f>
        <v>0</v>
      </c>
    </row>
    <row r="158" spans="1:7" ht="12.75">
      <c r="A158" s="440" t="s">
        <v>400</v>
      </c>
      <c r="B158" s="441"/>
      <c r="C158" s="441" t="s">
        <v>401</v>
      </c>
      <c r="D158" s="457">
        <f>D133-D142-D111</f>
        <v>0</v>
      </c>
      <c r="E158" s="457">
        <f>E133-E142-E111</f>
        <v>0</v>
      </c>
      <c r="F158" s="457">
        <f>F133-F142-F111</f>
        <v>-761553.7400000002</v>
      </c>
      <c r="G158" s="457">
        <f>G133-G142-G111</f>
        <v>0</v>
      </c>
    </row>
    <row r="159" spans="1:7" ht="12.75">
      <c r="A159" s="443" t="s">
        <v>402</v>
      </c>
      <c r="B159" s="444"/>
      <c r="C159" s="444" t="s">
        <v>403</v>
      </c>
      <c r="D159" s="461">
        <f>D121-D123-D124-D142-D145</f>
        <v>0</v>
      </c>
      <c r="E159" s="461">
        <f>E121-E123-E124-E142-E145</f>
        <v>0</v>
      </c>
      <c r="F159" s="461">
        <f>F121-F123-F124-F142-F145</f>
        <v>-873301.1299999999</v>
      </c>
      <c r="G159" s="461">
        <f>G121-G123-G124-G142-G145</f>
        <v>0</v>
      </c>
    </row>
    <row r="160" spans="1:7" ht="12.75">
      <c r="A160" s="443" t="s">
        <v>404</v>
      </c>
      <c r="B160" s="444"/>
      <c r="C160" s="444" t="s">
        <v>405</v>
      </c>
      <c r="D160" s="462" t="str">
        <f>IF(D175=0,"-",1000*D158/D175)</f>
        <v>-</v>
      </c>
      <c r="E160" s="462">
        <f>IF(E175=0,"-",1000*E158/E175)</f>
        <v>0</v>
      </c>
      <c r="F160" s="462">
        <f>IF(F175=0,"-",1000*F158/F175)</f>
        <v>-6533.633095685449</v>
      </c>
      <c r="G160" s="462">
        <f>IF(G175=0,"-",1000*G158/G175)</f>
        <v>0</v>
      </c>
    </row>
    <row r="161" spans="1:7" ht="12.75">
      <c r="A161" s="443" t="s">
        <v>404</v>
      </c>
      <c r="B161" s="444"/>
      <c r="C161" s="444" t="s">
        <v>406</v>
      </c>
      <c r="D161" s="461">
        <f>IF(D175=0,0,1000*(D159/D175))</f>
        <v>0</v>
      </c>
      <c r="E161" s="461">
        <f>IF(E175=0,0,1000*(E159/E175))</f>
        <v>0</v>
      </c>
      <c r="F161" s="461">
        <f>IF(F175=0,0,1000*(F159/F175))</f>
        <v>-7492.3526282826715</v>
      </c>
      <c r="G161" s="461">
        <f>IF(G175=0,0,1000*(G159/G175))</f>
        <v>0</v>
      </c>
    </row>
    <row r="162" spans="1:7" ht="12.75">
      <c r="A162" s="458" t="s">
        <v>407</v>
      </c>
      <c r="B162" s="459"/>
      <c r="C162" s="459" t="s">
        <v>408</v>
      </c>
      <c r="D162" s="460">
        <f>IF((D22+D23+D65+D66)=0,0,D158/(D22+D23+D65+D66))</f>
        <v>0</v>
      </c>
      <c r="E162" s="460">
        <f>IF((E22+E23+E65+E66)=0,0,E158/(E22+E23+E65+E66))</f>
        <v>0</v>
      </c>
      <c r="F162" s="460">
        <f>IF((F22+F23+F65+F66)=0,0,F158/(F22+F23+F65+F66))</f>
        <v>-1.187478305394029</v>
      </c>
      <c r="G162" s="460">
        <f>IF((G22+G23+G65+G66)=0,0,G158/(G22+G23+G65+G66))</f>
        <v>0</v>
      </c>
    </row>
    <row r="163" spans="1:7" ht="12.75">
      <c r="A163" s="443" t="s">
        <v>409</v>
      </c>
      <c r="B163" s="444"/>
      <c r="C163" s="444" t="s">
        <v>380</v>
      </c>
      <c r="D163" s="442">
        <f>D145</f>
        <v>0</v>
      </c>
      <c r="E163" s="442">
        <f>E145</f>
        <v>0</v>
      </c>
      <c r="F163" s="442">
        <f>F145</f>
        <v>1203993.13</v>
      </c>
      <c r="G163" s="442">
        <f>G145</f>
        <v>0</v>
      </c>
    </row>
    <row r="164" spans="1:7" ht="25.5">
      <c r="A164" s="450" t="s">
        <v>411</v>
      </c>
      <c r="B164" s="463"/>
      <c r="C164" s="463" t="s">
        <v>412</v>
      </c>
      <c r="D164" s="452">
        <f>IF(D178=0,0,D146/D178)</f>
        <v>0</v>
      </c>
      <c r="E164" s="452">
        <f>IF(E178=0,0,E146/E178)</f>
        <v>0</v>
      </c>
      <c r="F164" s="452">
        <f>IF(F178=0,0,F146/F178)</f>
        <v>0.4142597821142957</v>
      </c>
      <c r="G164" s="452">
        <f>IF(G178=0,0,G146/G178)</f>
        <v>0</v>
      </c>
    </row>
    <row r="165" spans="1:7" ht="12.75">
      <c r="A165" s="464" t="s">
        <v>681</v>
      </c>
      <c r="B165" s="464"/>
      <c r="C165" s="464" t="s">
        <v>414</v>
      </c>
      <c r="D165" s="465">
        <f>IF(D177=0,0,D180/D177)</f>
        <v>0</v>
      </c>
      <c r="E165" s="465">
        <f>IF(E177=0,0,E180/E177)</f>
        <v>0.05066602884089919</v>
      </c>
      <c r="F165" s="465">
        <f>IF(F177=0,0,F180/F177)</f>
        <v>0.04792890228547055</v>
      </c>
      <c r="G165" s="465">
        <f>IF(G177=0,0,G180/G177)</f>
        <v>0.056552040659161106</v>
      </c>
    </row>
    <row r="166" spans="1:7" ht="12.75">
      <c r="A166" s="443" t="s">
        <v>415</v>
      </c>
      <c r="B166" s="444"/>
      <c r="C166" s="444" t="s">
        <v>282</v>
      </c>
      <c r="D166" s="442">
        <f>D55</f>
        <v>0</v>
      </c>
      <c r="E166" s="442">
        <f>E55</f>
        <v>39640.433999999994</v>
      </c>
      <c r="F166" s="442">
        <f>F55</f>
        <v>36847.56999999999</v>
      </c>
      <c r="G166" s="442">
        <f>G55</f>
        <v>34091.852</v>
      </c>
    </row>
    <row r="167" spans="1:7" ht="12.75">
      <c r="A167" s="458" t="s">
        <v>416</v>
      </c>
      <c r="B167" s="459"/>
      <c r="C167" s="459" t="s">
        <v>417</v>
      </c>
      <c r="D167" s="460">
        <f>IF(0=D111,0,(D44+D45+D46+D47+D48)/D111)</f>
        <v>0</v>
      </c>
      <c r="E167" s="460">
        <f>IF(0=E111,0,(E44+E45+E46+E47+E48)/E111)</f>
        <v>0</v>
      </c>
      <c r="F167" s="460">
        <f>IF(0=F111,0,(F44+F45+F46+F47+F48)/F111)</f>
        <v>0.007842087382930449</v>
      </c>
      <c r="G167" s="460">
        <f>IF(0=G111,0,(G44+G45+G46+G47+G48)/G111)</f>
        <v>0</v>
      </c>
    </row>
    <row r="168" spans="1:7" ht="12.75">
      <c r="A168" s="443" t="s">
        <v>418</v>
      </c>
      <c r="B168" s="441"/>
      <c r="C168" s="441" t="s">
        <v>419</v>
      </c>
      <c r="D168" s="442">
        <f>D38-D44</f>
        <v>0</v>
      </c>
      <c r="E168" s="442">
        <f>E38-E44</f>
        <v>-11377.8</v>
      </c>
      <c r="F168" s="442">
        <f>F38-F44</f>
        <v>-8874.04</v>
      </c>
      <c r="G168" s="442">
        <f>G38-G44</f>
        <v>-7601.4</v>
      </c>
    </row>
    <row r="169" spans="1:7" ht="12.75">
      <c r="A169" s="458" t="s">
        <v>420</v>
      </c>
      <c r="B169" s="459"/>
      <c r="C169" s="459" t="s">
        <v>421</v>
      </c>
      <c r="D169" s="445">
        <f>IF(D177=0,0,D168/D177)</f>
        <v>0</v>
      </c>
      <c r="E169" s="445">
        <f>IF(E177=0,0,E168/E177)</f>
        <v>-0.008928462127368657</v>
      </c>
      <c r="F169" s="445">
        <f>IF(F177=0,0,F168/F177)</f>
        <v>-0.00709835142962977</v>
      </c>
      <c r="G169" s="445">
        <f>IF(G177=0,0,G168/G177)</f>
        <v>-0.006001187770014172</v>
      </c>
    </row>
    <row r="170" spans="1:7" ht="12.75">
      <c r="A170" s="443" t="s">
        <v>422</v>
      </c>
      <c r="B170" s="444"/>
      <c r="C170" s="444" t="s">
        <v>423</v>
      </c>
      <c r="D170" s="442">
        <f>SUM(D82:D87)+SUM(D89:D94)</f>
        <v>0</v>
      </c>
      <c r="E170" s="442">
        <f>SUM(E82:E87)+SUM(E89:E94)</f>
        <v>111170.7</v>
      </c>
      <c r="F170" s="442">
        <f>SUM(F82:F87)+SUM(F89:F94)</f>
        <v>103195.65100000001</v>
      </c>
      <c r="G170" s="442">
        <f>SUM(G82:G87)+SUM(G89:G94)</f>
        <v>124074.8</v>
      </c>
    </row>
    <row r="171" spans="1:7" ht="12.75">
      <c r="A171" s="443" t="s">
        <v>424</v>
      </c>
      <c r="B171" s="444"/>
      <c r="C171" s="444" t="s">
        <v>425</v>
      </c>
      <c r="D171" s="461">
        <f>SUM(D96:D102)+SUM(D104:D105)</f>
        <v>0</v>
      </c>
      <c r="E171" s="461">
        <f>SUM(E96:E102)+SUM(E104:E105)</f>
        <v>17193</v>
      </c>
      <c r="F171" s="461">
        <f>SUM(F96:F102)+SUM(F104:F105)</f>
        <v>22582.7</v>
      </c>
      <c r="G171" s="461">
        <f>SUM(G96:G102)+SUM(G104:G105)</f>
        <v>15260.5</v>
      </c>
    </row>
    <row r="172" spans="1:7" ht="12.75">
      <c r="A172" s="466" t="s">
        <v>413</v>
      </c>
      <c r="B172" s="464"/>
      <c r="C172" s="464" t="s">
        <v>426</v>
      </c>
      <c r="D172" s="465">
        <f>IF(D184=0,0,D170/D184)</f>
        <v>0</v>
      </c>
      <c r="E172" s="465">
        <f>IF(E184=0,0,E170/E184)</f>
        <v>0.08516159515848233</v>
      </c>
      <c r="F172" s="465">
        <f>IF(F184=0,0,F170/F184)</f>
        <v>0.08151213509222227</v>
      </c>
      <c r="G172" s="465">
        <f>IF(G184=0,0,G170/G184)</f>
        <v>0.09021834281147356</v>
      </c>
    </row>
    <row r="174" spans="1:7" ht="12.75">
      <c r="A174" s="467" t="s">
        <v>427</v>
      </c>
      <c r="B174" s="468"/>
      <c r="C174" s="467"/>
      <c r="D174" s="364"/>
      <c r="E174" s="364"/>
      <c r="F174" s="364"/>
      <c r="G174" s="364"/>
    </row>
    <row r="175" spans="1:7" s="260" customFormat="1" ht="12.75">
      <c r="A175" s="468" t="s">
        <v>428</v>
      </c>
      <c r="B175" s="468"/>
      <c r="C175" s="468" t="s">
        <v>429</v>
      </c>
      <c r="D175" s="472"/>
      <c r="E175" s="472">
        <v>116559</v>
      </c>
      <c r="F175" s="472">
        <v>116559</v>
      </c>
      <c r="G175" s="472">
        <v>116559</v>
      </c>
    </row>
    <row r="176" spans="1:7" ht="12.75">
      <c r="A176" s="467" t="s">
        <v>430</v>
      </c>
      <c r="B176" s="468"/>
      <c r="C176" s="468"/>
      <c r="D176" s="468"/>
      <c r="E176" s="468"/>
      <c r="F176" s="468"/>
      <c r="G176" s="468"/>
    </row>
    <row r="177" spans="1:7" ht="12.75">
      <c r="A177" s="468" t="s">
        <v>431</v>
      </c>
      <c r="B177" s="468"/>
      <c r="C177" s="468" t="s">
        <v>432</v>
      </c>
      <c r="D177" s="472">
        <f>SUM(D22:D32)+SUM(D44:D53)+SUM(D65:D72)+D75</f>
        <v>0</v>
      </c>
      <c r="E177" s="472">
        <f>SUM(E22:E32)+SUM(E44:E53)+SUM(E65:E72)+E75</f>
        <v>1274329.2</v>
      </c>
      <c r="F177" s="472">
        <f>SUM(F22:F32)+SUM(F44:F53)+SUM(F65:F72)+F75</f>
        <v>1250155.066</v>
      </c>
      <c r="G177" s="472">
        <f>SUM(G22:G32)+SUM(G44:G53)+SUM(G65:G72)+G75</f>
        <v>1266649.252</v>
      </c>
    </row>
    <row r="178" spans="1:7" ht="12.75">
      <c r="A178" s="468" t="s">
        <v>433</v>
      </c>
      <c r="B178" s="468"/>
      <c r="C178" s="468" t="s">
        <v>434</v>
      </c>
      <c r="D178" s="472">
        <f>D78-D17-D20-D59-D63-D64</f>
        <v>0</v>
      </c>
      <c r="E178" s="472">
        <f>E78-E17-E20-E59-E63-E64</f>
        <v>1278351.65</v>
      </c>
      <c r="F178" s="472">
        <f>F78-F17-F20-F59-F63-F64</f>
        <v>1244042.1500000001</v>
      </c>
      <c r="G178" s="472">
        <f>G78-G17-G20-G59-G63-G64</f>
        <v>1338959.422</v>
      </c>
    </row>
    <row r="179" spans="1:7" ht="12.75">
      <c r="A179" s="468"/>
      <c r="B179" s="468"/>
      <c r="C179" s="468" t="s">
        <v>435</v>
      </c>
      <c r="D179" s="472">
        <f>D178+D170</f>
        <v>0</v>
      </c>
      <c r="E179" s="472">
        <f>E178+E170</f>
        <v>1389522.3499999999</v>
      </c>
      <c r="F179" s="472">
        <f>F178+F170</f>
        <v>1347237.8010000002</v>
      </c>
      <c r="G179" s="472">
        <f>G178+G170</f>
        <v>1463034.222</v>
      </c>
    </row>
    <row r="180" spans="1:7" ht="12.75">
      <c r="A180" s="468" t="s">
        <v>436</v>
      </c>
      <c r="B180" s="468"/>
      <c r="C180" s="468" t="s">
        <v>437</v>
      </c>
      <c r="D180" s="472">
        <f>D38-D44+D8+D9+D10+D16-D33</f>
        <v>0</v>
      </c>
      <c r="E180" s="472">
        <f>E38-E44+E8+E9+E10+E16-E33</f>
        <v>64565.2</v>
      </c>
      <c r="F180" s="472">
        <f>F38-F44+F8+F9+F10+F16-F33</f>
        <v>59918.56</v>
      </c>
      <c r="G180" s="472">
        <f>G38-G44+G8+G9+G10+G16-G33</f>
        <v>71631.6</v>
      </c>
    </row>
    <row r="181" spans="1:7" ht="27" customHeight="1">
      <c r="A181" s="473" t="s">
        <v>438</v>
      </c>
      <c r="B181" s="474"/>
      <c r="C181" s="474" t="s">
        <v>439</v>
      </c>
      <c r="D181" s="475">
        <f>D22+D23+D24+D25+D26+D29+SUM(D44:D47)+SUM(D49:D53)-D54+D32-D33+SUM(D65:D70)+D72</f>
        <v>0</v>
      </c>
      <c r="E181" s="475">
        <f>E22+E23+E24+E25+E26+E29+SUM(E44:E47)+SUM(E49:E53)-E54+E32-E33+SUM(E65:E70)+E72</f>
        <v>1267898.7880000002</v>
      </c>
      <c r="F181" s="475">
        <f>F22+F23+F24+F25+F26+F29+SUM(F44:F47)+SUM(F49:F53)-F54+F32-F33+SUM(F65:F70)+F72</f>
        <v>1244239.0159999998</v>
      </c>
      <c r="G181" s="475">
        <f>G22+G23+G24+G25+G26+G29+SUM(G44:G47)+SUM(G49:G53)-G54+G32-G33+SUM(G65:G70)+G72</f>
        <v>1260333.252</v>
      </c>
    </row>
    <row r="182" spans="1:7" ht="12.75">
      <c r="A182" s="474" t="s">
        <v>440</v>
      </c>
      <c r="B182" s="474"/>
      <c r="C182" s="474" t="s">
        <v>441</v>
      </c>
      <c r="D182" s="475">
        <f>D181+D171</f>
        <v>0</v>
      </c>
      <c r="E182" s="475">
        <f>E181+E171</f>
        <v>1285091.7880000002</v>
      </c>
      <c r="F182" s="475">
        <f>F181+F171</f>
        <v>1266821.7159999998</v>
      </c>
      <c r="G182" s="475">
        <f>G181+G171</f>
        <v>1275593.752</v>
      </c>
    </row>
    <row r="183" spans="1:7" ht="12.75">
      <c r="A183" s="474" t="s">
        <v>442</v>
      </c>
      <c r="B183" s="474"/>
      <c r="C183" s="474" t="s">
        <v>443</v>
      </c>
      <c r="D183" s="475">
        <f>D4+D5-D7+D38+D39+D40+D41+D43+D13-D16+D57+D58+D60+D61+D62</f>
        <v>0</v>
      </c>
      <c r="E183" s="475">
        <f>E4+E5-E7+E38+E39+E40+E41+E43+E13-E16+E57+E58+E60+E61+E62</f>
        <v>1194238.1500000001</v>
      </c>
      <c r="F183" s="475">
        <f>F4+F5-F7+F38+F39+F40+F41+F43+F13-F16+F57+F58+F60+F61+F62</f>
        <v>1162820.1500000001</v>
      </c>
      <c r="G183" s="475">
        <f>G4+G5-G7+G38+G39+G40+G41+G43+G13-G16+G57+G58+G60+G61+G62</f>
        <v>1251197.635</v>
      </c>
    </row>
    <row r="184" spans="1:7" ht="12.75">
      <c r="A184" s="474" t="s">
        <v>444</v>
      </c>
      <c r="B184" s="474"/>
      <c r="C184" s="474" t="s">
        <v>445</v>
      </c>
      <c r="D184" s="475">
        <f>D183+D170</f>
        <v>0</v>
      </c>
      <c r="E184" s="475">
        <f>E183+E170</f>
        <v>1305408.85</v>
      </c>
      <c r="F184" s="475">
        <f>F183+F170</f>
        <v>1266015.8010000002</v>
      </c>
      <c r="G184" s="475">
        <f>G183+G170</f>
        <v>1375272.435</v>
      </c>
    </row>
    <row r="185" spans="1:7" ht="12.75">
      <c r="A185" s="474"/>
      <c r="B185" s="474"/>
      <c r="C185" s="474" t="s">
        <v>446</v>
      </c>
      <c r="D185" s="475">
        <f aca="true" t="shared" si="0" ref="D185:G186">D181-D183</f>
        <v>0</v>
      </c>
      <c r="E185" s="475">
        <f t="shared" si="0"/>
        <v>73660.63800000004</v>
      </c>
      <c r="F185" s="475">
        <f t="shared" si="0"/>
        <v>81418.86599999969</v>
      </c>
      <c r="G185" s="475">
        <f t="shared" si="0"/>
        <v>9135.617000000086</v>
      </c>
    </row>
    <row r="186" spans="1:7" ht="12.75">
      <c r="A186" s="474"/>
      <c r="B186" s="474"/>
      <c r="C186" s="474" t="s">
        <v>447</v>
      </c>
      <c r="D186" s="475">
        <f t="shared" si="0"/>
        <v>0</v>
      </c>
      <c r="E186" s="475">
        <f t="shared" si="0"/>
        <v>-20317.061999999918</v>
      </c>
      <c r="F186" s="475">
        <f t="shared" si="0"/>
        <v>805.9149999995716</v>
      </c>
      <c r="G186" s="475">
        <f t="shared" si="0"/>
        <v>-99678.68299999996</v>
      </c>
    </row>
  </sheetData>
  <sheetProtection selectLockedCells="1"/>
  <mergeCells count="2">
    <mergeCell ref="A3:C3"/>
    <mergeCell ref="A81:C8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&amp;LFachgruppe für kantonale Finanzfragen (FkF)
Groupe d'études pour les finances cantonales
&amp;CRechnung 2011 - Budget 2013
Compte 2011 - Budget 2013&amp;RZürich, 12.9.2013</oddHeader>
    <oddFooter>&amp;LQuelle/Source: FkF Sept. 2013</oddFooter>
  </headerFooter>
  <rowBreaks count="2" manualBreakCount="2">
    <brk id="79" max="255" man="1"/>
    <brk id="14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86"/>
  <sheetViews>
    <sheetView zoomScalePageLayoutView="0" workbookViewId="0" topLeftCell="A1">
      <selection activeCell="A1" sqref="A1:G186"/>
    </sheetView>
  </sheetViews>
  <sheetFormatPr defaultColWidth="11.421875" defaultRowHeight="12.75"/>
  <cols>
    <col min="1" max="1" width="16.28125" style="478" customWidth="1"/>
    <col min="2" max="2" width="3.7109375" style="252" customWidth="1"/>
    <col min="3" max="3" width="44.00390625" style="252" customWidth="1"/>
    <col min="4" max="4" width="12.7109375" style="252" customWidth="1"/>
    <col min="5" max="5" width="11.421875" style="252" customWidth="1"/>
    <col min="6" max="6" width="12.7109375" style="252" customWidth="1"/>
    <col min="7" max="16384" width="11.421875" style="252" customWidth="1"/>
  </cols>
  <sheetData>
    <row r="1" spans="1:55" s="243" customFormat="1" ht="18" customHeight="1">
      <c r="A1" s="553" t="s">
        <v>113</v>
      </c>
      <c r="B1" s="532" t="s">
        <v>668</v>
      </c>
      <c r="C1" s="532" t="s">
        <v>114</v>
      </c>
      <c r="D1" s="241" t="s">
        <v>115</v>
      </c>
      <c r="E1" s="240" t="s">
        <v>105</v>
      </c>
      <c r="F1" s="241" t="s">
        <v>115</v>
      </c>
      <c r="G1" s="240" t="s">
        <v>105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7" s="249" customFormat="1" ht="15" customHeight="1">
      <c r="A2" s="554"/>
      <c r="B2" s="245"/>
      <c r="C2" s="246" t="s">
        <v>669</v>
      </c>
      <c r="D2" s="248">
        <v>2011</v>
      </c>
      <c r="E2" s="247">
        <v>2012</v>
      </c>
      <c r="F2" s="248">
        <v>2012</v>
      </c>
      <c r="G2" s="247">
        <v>2013</v>
      </c>
    </row>
    <row r="3" spans="1:7" ht="15" customHeight="1">
      <c r="A3" s="609" t="s">
        <v>459</v>
      </c>
      <c r="B3" s="610"/>
      <c r="C3" s="610"/>
      <c r="D3" s="250"/>
      <c r="F3" s="250"/>
      <c r="G3" s="253" t="s">
        <v>103</v>
      </c>
    </row>
    <row r="4" spans="1:7" s="260" customFormat="1" ht="12.75" customHeight="1">
      <c r="A4" s="555">
        <v>30</v>
      </c>
      <c r="B4" s="480"/>
      <c r="C4" s="256" t="s">
        <v>117</v>
      </c>
      <c r="D4" s="257">
        <v>1442602</v>
      </c>
      <c r="E4" s="257">
        <v>1487746.86</v>
      </c>
      <c r="F4" s="257">
        <v>1158331.9</v>
      </c>
      <c r="G4" s="259">
        <v>1173958.4</v>
      </c>
    </row>
    <row r="5" spans="1:7" s="260" customFormat="1" ht="12.75" customHeight="1">
      <c r="A5" s="274">
        <v>31</v>
      </c>
      <c r="B5" s="262"/>
      <c r="C5" s="263" t="s">
        <v>460</v>
      </c>
      <c r="D5" s="264">
        <v>446295.5</v>
      </c>
      <c r="E5" s="264">
        <v>442640</v>
      </c>
      <c r="F5" s="275">
        <v>318554</v>
      </c>
      <c r="G5" s="267">
        <v>323472</v>
      </c>
    </row>
    <row r="6" spans="1:7" s="260" customFormat="1" ht="12.75" customHeight="1">
      <c r="A6" s="268" t="s">
        <v>119</v>
      </c>
      <c r="B6" s="269"/>
      <c r="C6" s="270" t="s">
        <v>461</v>
      </c>
      <c r="D6" s="271">
        <v>58900</v>
      </c>
      <c r="E6" s="271">
        <v>53439</v>
      </c>
      <c r="F6" s="271">
        <v>49697.8</v>
      </c>
      <c r="G6" s="273"/>
    </row>
    <row r="7" spans="1:7" s="260" customFormat="1" ht="12.75" customHeight="1">
      <c r="A7" s="268" t="s">
        <v>462</v>
      </c>
      <c r="B7" s="269"/>
      <c r="C7" s="270" t="s">
        <v>463</v>
      </c>
      <c r="D7" s="271">
        <v>13826</v>
      </c>
      <c r="E7" s="271">
        <v>14390</v>
      </c>
      <c r="F7" s="271">
        <v>13764.4</v>
      </c>
      <c r="G7" s="273"/>
    </row>
    <row r="8" spans="1:7" s="260" customFormat="1" ht="12.75" customHeight="1">
      <c r="A8" s="274">
        <v>330</v>
      </c>
      <c r="B8" s="262"/>
      <c r="C8" s="263" t="s">
        <v>464</v>
      </c>
      <c r="D8" s="275">
        <v>94256.17</v>
      </c>
      <c r="E8" s="275">
        <v>80394</v>
      </c>
      <c r="F8" s="275">
        <v>61027.6</v>
      </c>
      <c r="G8" s="276">
        <v>66129</v>
      </c>
    </row>
    <row r="9" spans="1:7" s="260" customFormat="1" ht="12.75" customHeight="1">
      <c r="A9" s="274">
        <v>332</v>
      </c>
      <c r="B9" s="262"/>
      <c r="C9" s="263" t="s">
        <v>465</v>
      </c>
      <c r="D9" s="275"/>
      <c r="E9" s="275"/>
      <c r="F9" s="275"/>
      <c r="G9" s="276"/>
    </row>
    <row r="10" spans="1:7" s="260" customFormat="1" ht="12.75" customHeight="1">
      <c r="A10" s="274">
        <v>339</v>
      </c>
      <c r="B10" s="262"/>
      <c r="C10" s="263" t="s">
        <v>466</v>
      </c>
      <c r="D10" s="275">
        <v>0</v>
      </c>
      <c r="E10" s="275">
        <v>0</v>
      </c>
      <c r="F10" s="275">
        <v>0</v>
      </c>
      <c r="G10" s="276"/>
    </row>
    <row r="11" spans="1:7" s="538" customFormat="1" ht="27.75" customHeight="1">
      <c r="A11" s="278">
        <v>350</v>
      </c>
      <c r="B11" s="537"/>
      <c r="C11" s="280" t="s">
        <v>467</v>
      </c>
      <c r="D11" s="281">
        <v>0</v>
      </c>
      <c r="E11" s="281">
        <v>0</v>
      </c>
      <c r="F11" s="281"/>
      <c r="G11" s="496">
        <v>0</v>
      </c>
    </row>
    <row r="12" spans="1:7" s="285" customFormat="1" ht="25.5">
      <c r="A12" s="278">
        <v>351</v>
      </c>
      <c r="B12" s="279"/>
      <c r="C12" s="280" t="s">
        <v>468</v>
      </c>
      <c r="D12" s="282">
        <v>69046</v>
      </c>
      <c r="E12" s="282">
        <v>33460.2</v>
      </c>
      <c r="F12" s="282">
        <v>60782.7</v>
      </c>
      <c r="G12" s="482">
        <v>38853</v>
      </c>
    </row>
    <row r="13" spans="1:7" s="260" customFormat="1" ht="12.75" customHeight="1">
      <c r="A13" s="274">
        <v>36</v>
      </c>
      <c r="B13" s="262"/>
      <c r="C13" s="263" t="s">
        <v>469</v>
      </c>
      <c r="D13" s="271">
        <v>1019332.8</v>
      </c>
      <c r="E13" s="323">
        <v>1092659.9</v>
      </c>
      <c r="F13" s="271">
        <v>1277176.4</v>
      </c>
      <c r="G13" s="276">
        <v>1332254</v>
      </c>
    </row>
    <row r="14" spans="1:7" s="260" customFormat="1" ht="12.75" customHeight="1">
      <c r="A14" s="287" t="s">
        <v>470</v>
      </c>
      <c r="B14" s="262"/>
      <c r="C14" s="288" t="s">
        <v>471</v>
      </c>
      <c r="D14" s="271">
        <v>38708.2</v>
      </c>
      <c r="E14" s="323">
        <v>622088.9</v>
      </c>
      <c r="F14" s="271">
        <v>241570</v>
      </c>
      <c r="G14" s="276">
        <v>267841.6</v>
      </c>
    </row>
    <row r="15" spans="1:7" s="260" customFormat="1" ht="12.75" customHeight="1">
      <c r="A15" s="287" t="s">
        <v>472</v>
      </c>
      <c r="B15" s="262"/>
      <c r="C15" s="288" t="s">
        <v>473</v>
      </c>
      <c r="D15" s="271">
        <v>4866.3</v>
      </c>
      <c r="E15" s="323">
        <v>30815.2</v>
      </c>
      <c r="F15" s="271">
        <v>33878</v>
      </c>
      <c r="G15" s="276">
        <v>31421</v>
      </c>
    </row>
    <row r="16" spans="1:7" s="297" customFormat="1" ht="26.25" customHeight="1">
      <c r="A16" s="287" t="s">
        <v>474</v>
      </c>
      <c r="B16" s="483"/>
      <c r="C16" s="288" t="s">
        <v>475</v>
      </c>
      <c r="D16" s="293">
        <v>55924.1</v>
      </c>
      <c r="E16" s="294">
        <v>168659.3</v>
      </c>
      <c r="F16" s="293">
        <v>32494</v>
      </c>
      <c r="G16" s="296">
        <v>42931.5</v>
      </c>
    </row>
    <row r="17" spans="1:8" s="299" customFormat="1" ht="12.75">
      <c r="A17" s="274">
        <v>37</v>
      </c>
      <c r="B17" s="262"/>
      <c r="C17" s="263" t="s">
        <v>476</v>
      </c>
      <c r="D17" s="316">
        <v>221987.1</v>
      </c>
      <c r="E17" s="264">
        <v>227488.43</v>
      </c>
      <c r="F17" s="316">
        <v>218860</v>
      </c>
      <c r="G17" s="298">
        <v>228228.7</v>
      </c>
      <c r="H17" s="260"/>
    </row>
    <row r="18" spans="1:8" s="299" customFormat="1" ht="12.75">
      <c r="A18" s="322" t="s">
        <v>477</v>
      </c>
      <c r="B18" s="269"/>
      <c r="C18" s="270" t="s">
        <v>478</v>
      </c>
      <c r="D18" s="485">
        <v>15.9</v>
      </c>
      <c r="E18" s="323">
        <v>100</v>
      </c>
      <c r="F18" s="485">
        <v>20</v>
      </c>
      <c r="G18" s="298">
        <v>200</v>
      </c>
      <c r="H18" s="318"/>
    </row>
    <row r="19" spans="1:8" s="299" customFormat="1" ht="12.75">
      <c r="A19" s="322" t="s">
        <v>479</v>
      </c>
      <c r="B19" s="269"/>
      <c r="C19" s="270" t="s">
        <v>480</v>
      </c>
      <c r="D19" s="485">
        <v>0</v>
      </c>
      <c r="E19" s="323">
        <v>0</v>
      </c>
      <c r="F19" s="485">
        <v>0</v>
      </c>
      <c r="G19" s="298"/>
      <c r="H19" s="318"/>
    </row>
    <row r="20" spans="1:7" s="260" customFormat="1" ht="12.75" customHeight="1">
      <c r="A20" s="556">
        <v>39</v>
      </c>
      <c r="B20" s="302"/>
      <c r="C20" s="303" t="s">
        <v>139</v>
      </c>
      <c r="D20" s="306">
        <v>28468.3</v>
      </c>
      <c r="E20" s="304">
        <v>231835.26</v>
      </c>
      <c r="F20" s="306">
        <v>24977</v>
      </c>
      <c r="G20" s="308">
        <v>26483.8</v>
      </c>
    </row>
    <row r="21" spans="1:7" ht="12.75" customHeight="1">
      <c r="A21" s="557"/>
      <c r="B21" s="309"/>
      <c r="C21" s="310" t="s">
        <v>481</v>
      </c>
      <c r="D21" s="311">
        <f>D4+D5+SUM(D8:D13)+D17</f>
        <v>3293519.57</v>
      </c>
      <c r="E21" s="311">
        <f>E4+E5+SUM(E8:E13)+E17</f>
        <v>3364389.39</v>
      </c>
      <c r="F21" s="311">
        <f>F4+F5+SUM(F8:F13)+F17</f>
        <v>3094732.5999999996</v>
      </c>
      <c r="G21" s="311">
        <f>G4+G5+SUM(G8:G13)+G17</f>
        <v>3162895.1</v>
      </c>
    </row>
    <row r="22" spans="1:7" s="538" customFormat="1" ht="12.75" customHeight="1">
      <c r="A22" s="278" t="s">
        <v>247</v>
      </c>
      <c r="B22" s="537"/>
      <c r="C22" s="280" t="s">
        <v>482</v>
      </c>
      <c r="D22" s="281">
        <v>941944</v>
      </c>
      <c r="E22" s="281">
        <v>938400</v>
      </c>
      <c r="F22" s="281">
        <v>930024.6</v>
      </c>
      <c r="G22" s="558">
        <v>923400</v>
      </c>
    </row>
    <row r="23" spans="1:7" s="538" customFormat="1" ht="12.75">
      <c r="A23" s="278" t="s">
        <v>249</v>
      </c>
      <c r="B23" s="537"/>
      <c r="C23" s="280" t="s">
        <v>483</v>
      </c>
      <c r="D23" s="281">
        <v>185376</v>
      </c>
      <c r="E23" s="281">
        <v>185914</v>
      </c>
      <c r="F23" s="281">
        <v>189937.7</v>
      </c>
      <c r="G23" s="558">
        <v>190660</v>
      </c>
    </row>
    <row r="24" spans="1:8" s="313" customFormat="1" ht="12.75" customHeight="1">
      <c r="A24" s="274">
        <v>41</v>
      </c>
      <c r="B24" s="262"/>
      <c r="C24" s="263" t="s">
        <v>484</v>
      </c>
      <c r="D24" s="275">
        <v>85596.3</v>
      </c>
      <c r="E24" s="275">
        <v>57441.57</v>
      </c>
      <c r="F24" s="275">
        <v>59665</v>
      </c>
      <c r="G24" s="276">
        <v>58371</v>
      </c>
      <c r="H24" s="260"/>
    </row>
    <row r="25" spans="1:7" s="260" customFormat="1" ht="12.75" customHeight="1">
      <c r="A25" s="559">
        <v>42</v>
      </c>
      <c r="B25" s="315"/>
      <c r="C25" s="263" t="s">
        <v>485</v>
      </c>
      <c r="D25" s="275">
        <v>453492.6</v>
      </c>
      <c r="E25" s="275">
        <v>475229.01</v>
      </c>
      <c r="F25" s="275">
        <v>210168</v>
      </c>
      <c r="G25" s="276">
        <v>208532</v>
      </c>
    </row>
    <row r="26" spans="1:8" s="318" customFormat="1" ht="12.75" customHeight="1">
      <c r="A26" s="278">
        <v>430</v>
      </c>
      <c r="B26" s="262"/>
      <c r="C26" s="263" t="s">
        <v>670</v>
      </c>
      <c r="D26" s="316">
        <v>8892</v>
      </c>
      <c r="E26" s="316">
        <v>8975</v>
      </c>
      <c r="F26" s="316">
        <v>1996</v>
      </c>
      <c r="G26" s="298">
        <v>1997</v>
      </c>
      <c r="H26" s="260"/>
    </row>
    <row r="27" spans="1:8" s="318" customFormat="1" ht="12.75" customHeight="1">
      <c r="A27" s="278">
        <v>431</v>
      </c>
      <c r="B27" s="262"/>
      <c r="C27" s="263" t="s">
        <v>487</v>
      </c>
      <c r="D27" s="316">
        <v>145</v>
      </c>
      <c r="E27" s="316">
        <v>382</v>
      </c>
      <c r="F27" s="316">
        <v>78</v>
      </c>
      <c r="G27" s="298">
        <v>285</v>
      </c>
      <c r="H27" s="260"/>
    </row>
    <row r="28" spans="1:8" s="318" customFormat="1" ht="12.75" customHeight="1">
      <c r="A28" s="278">
        <v>432</v>
      </c>
      <c r="B28" s="262"/>
      <c r="C28" s="263" t="s">
        <v>488</v>
      </c>
      <c r="D28" s="316">
        <v>0</v>
      </c>
      <c r="E28" s="316">
        <v>0</v>
      </c>
      <c r="F28" s="316">
        <v>0</v>
      </c>
      <c r="G28" s="298">
        <v>0</v>
      </c>
      <c r="H28" s="260"/>
    </row>
    <row r="29" spans="1:8" s="318" customFormat="1" ht="12.75" customHeight="1">
      <c r="A29" s="278">
        <v>439</v>
      </c>
      <c r="B29" s="262"/>
      <c r="C29" s="263" t="s">
        <v>489</v>
      </c>
      <c r="D29" s="316">
        <v>0</v>
      </c>
      <c r="E29" s="316">
        <v>0</v>
      </c>
      <c r="F29" s="316">
        <v>0</v>
      </c>
      <c r="G29" s="298">
        <v>0</v>
      </c>
      <c r="H29" s="260"/>
    </row>
    <row r="30" spans="1:7" s="260" customFormat="1" ht="25.5">
      <c r="A30" s="278">
        <v>450</v>
      </c>
      <c r="B30" s="279"/>
      <c r="C30" s="280" t="s">
        <v>490</v>
      </c>
      <c r="D30" s="264">
        <v>0</v>
      </c>
      <c r="E30" s="264">
        <v>0</v>
      </c>
      <c r="F30" s="264">
        <v>0</v>
      </c>
      <c r="G30" s="319">
        <v>0</v>
      </c>
    </row>
    <row r="31" spans="1:7" s="285" customFormat="1" ht="25.5">
      <c r="A31" s="278">
        <v>451</v>
      </c>
      <c r="B31" s="279"/>
      <c r="C31" s="280" t="s">
        <v>491</v>
      </c>
      <c r="D31" s="281">
        <v>78738.9</v>
      </c>
      <c r="E31" s="281">
        <v>63406.29</v>
      </c>
      <c r="F31" s="281">
        <v>50802.6</v>
      </c>
      <c r="G31" s="276">
        <v>76202</v>
      </c>
    </row>
    <row r="32" spans="1:7" s="260" customFormat="1" ht="12.75" customHeight="1">
      <c r="A32" s="274">
        <v>46</v>
      </c>
      <c r="B32" s="262"/>
      <c r="C32" s="263" t="s">
        <v>492</v>
      </c>
      <c r="D32" s="275">
        <v>1347058.9</v>
      </c>
      <c r="E32" s="275">
        <v>1343703.74</v>
      </c>
      <c r="F32" s="275">
        <v>1376356</v>
      </c>
      <c r="G32" s="276">
        <v>1372599</v>
      </c>
    </row>
    <row r="33" spans="1:7" s="297" customFormat="1" ht="25.5">
      <c r="A33" s="287" t="s">
        <v>493</v>
      </c>
      <c r="B33" s="560"/>
      <c r="C33" s="288" t="s">
        <v>494</v>
      </c>
      <c r="D33" s="290">
        <v>0</v>
      </c>
      <c r="E33" s="290">
        <v>0</v>
      </c>
      <c r="F33" s="290">
        <v>0</v>
      </c>
      <c r="G33" s="561">
        <v>0</v>
      </c>
    </row>
    <row r="34" spans="1:7" s="260" customFormat="1" ht="15" customHeight="1">
      <c r="A34" s="274">
        <v>47</v>
      </c>
      <c r="B34" s="262"/>
      <c r="C34" s="263" t="s">
        <v>476</v>
      </c>
      <c r="D34" s="275">
        <v>222129.6</v>
      </c>
      <c r="E34" s="275">
        <v>227488.43</v>
      </c>
      <c r="F34" s="275">
        <v>219610</v>
      </c>
      <c r="G34" s="276">
        <v>228229</v>
      </c>
    </row>
    <row r="35" spans="1:7" s="260" customFormat="1" ht="15" customHeight="1">
      <c r="A35" s="556">
        <v>49</v>
      </c>
      <c r="B35" s="302"/>
      <c r="C35" s="303" t="s">
        <v>139</v>
      </c>
      <c r="D35" s="306">
        <v>28468.3</v>
      </c>
      <c r="E35" s="304">
        <v>231835.26</v>
      </c>
      <c r="F35" s="306">
        <v>24977</v>
      </c>
      <c r="G35" s="308">
        <v>26483.7</v>
      </c>
    </row>
    <row r="36" spans="1:7" ht="13.5" customHeight="1">
      <c r="A36" s="557"/>
      <c r="B36" s="335"/>
      <c r="C36" s="310" t="s">
        <v>495</v>
      </c>
      <c r="D36" s="311">
        <f>D22+D23+D24+D25+D26+D27+D28+D29+D30+D31+D32+D34</f>
        <v>3323373.3</v>
      </c>
      <c r="E36" s="311">
        <f>E22+E23+E24+E25+E26+E27+E28+E29+E30+E31+E32+E34</f>
        <v>3300940.0400000005</v>
      </c>
      <c r="F36" s="311">
        <f>F22+F23+F24+F25+F26+F27+F28+F29+F30+F31+F32+F34</f>
        <v>3038637.9000000004</v>
      </c>
      <c r="G36" s="311">
        <f>G22+G23+G24+G25+G26+G27+G28+G29+G30+G31+G32+G34</f>
        <v>3060275</v>
      </c>
    </row>
    <row r="37" spans="1:7" s="487" customFormat="1" ht="15" customHeight="1">
      <c r="A37" s="557"/>
      <c r="B37" s="335"/>
      <c r="C37" s="310" t="s">
        <v>496</v>
      </c>
      <c r="D37" s="311">
        <f>D36-D21</f>
        <v>29853.72999999998</v>
      </c>
      <c r="E37" s="311">
        <f>E36-E21</f>
        <v>-63449.34999999963</v>
      </c>
      <c r="F37" s="311">
        <f>F36-F21</f>
        <v>-56094.699999999255</v>
      </c>
      <c r="G37" s="311">
        <f>G36-G21</f>
        <v>-102620.1000000001</v>
      </c>
    </row>
    <row r="38" spans="1:8" s="285" customFormat="1" ht="15" customHeight="1">
      <c r="A38" s="274">
        <v>340</v>
      </c>
      <c r="B38" s="262"/>
      <c r="C38" s="263" t="s">
        <v>497</v>
      </c>
      <c r="D38" s="275">
        <v>22136</v>
      </c>
      <c r="E38" s="264">
        <v>17000</v>
      </c>
      <c r="F38" s="275">
        <v>16263</v>
      </c>
      <c r="G38" s="276">
        <v>14516.9</v>
      </c>
      <c r="H38" s="562"/>
    </row>
    <row r="39" spans="1:8" s="285" customFormat="1" ht="15" customHeight="1">
      <c r="A39" s="274">
        <v>341</v>
      </c>
      <c r="B39" s="262"/>
      <c r="C39" s="263" t="s">
        <v>498</v>
      </c>
      <c r="D39" s="275"/>
      <c r="E39" s="275">
        <v>0</v>
      </c>
      <c r="F39" s="275">
        <v>0</v>
      </c>
      <c r="G39" s="276">
        <v>0</v>
      </c>
      <c r="H39" s="562"/>
    </row>
    <row r="40" spans="1:7" s="297" customFormat="1" ht="15" customHeight="1">
      <c r="A40" s="278">
        <v>342</v>
      </c>
      <c r="B40" s="537"/>
      <c r="C40" s="280" t="s">
        <v>499</v>
      </c>
      <c r="D40" s="281"/>
      <c r="E40" s="281">
        <v>0</v>
      </c>
      <c r="F40" s="281">
        <v>0</v>
      </c>
      <c r="G40" s="558">
        <v>0</v>
      </c>
    </row>
    <row r="41" spans="1:8" s="285" customFormat="1" ht="15" customHeight="1">
      <c r="A41" s="274">
        <v>343</v>
      </c>
      <c r="B41" s="262"/>
      <c r="C41" s="263" t="s">
        <v>671</v>
      </c>
      <c r="D41" s="275"/>
      <c r="E41" s="275">
        <v>0</v>
      </c>
      <c r="F41" s="275">
        <v>0</v>
      </c>
      <c r="G41" s="276">
        <v>0</v>
      </c>
      <c r="H41" s="562"/>
    </row>
    <row r="42" spans="1:7" s="297" customFormat="1" ht="15" customHeight="1">
      <c r="A42" s="278">
        <v>344</v>
      </c>
      <c r="B42" s="537"/>
      <c r="C42" s="280" t="s">
        <v>501</v>
      </c>
      <c r="D42" s="281">
        <v>310</v>
      </c>
      <c r="E42" s="281">
        <v>0</v>
      </c>
      <c r="F42" s="281">
        <v>0</v>
      </c>
      <c r="G42" s="558">
        <v>0</v>
      </c>
    </row>
    <row r="43" spans="1:8" s="285" customFormat="1" ht="15" customHeight="1">
      <c r="A43" s="274">
        <v>349</v>
      </c>
      <c r="B43" s="262"/>
      <c r="C43" s="263" t="s">
        <v>502</v>
      </c>
      <c r="D43" s="275">
        <v>17</v>
      </c>
      <c r="E43" s="275">
        <v>36</v>
      </c>
      <c r="F43" s="275">
        <v>13</v>
      </c>
      <c r="G43" s="276">
        <v>16</v>
      </c>
      <c r="H43" s="562"/>
    </row>
    <row r="44" spans="1:7" s="260" customFormat="1" ht="15" customHeight="1">
      <c r="A44" s="274">
        <v>440</v>
      </c>
      <c r="B44" s="262"/>
      <c r="C44" s="263" t="s">
        <v>503</v>
      </c>
      <c r="D44" s="275">
        <v>30399</v>
      </c>
      <c r="E44" s="264">
        <v>22804.45</v>
      </c>
      <c r="F44" s="275">
        <v>22335.8</v>
      </c>
      <c r="G44" s="276">
        <v>18945</v>
      </c>
    </row>
    <row r="45" spans="1:7" s="538" customFormat="1" ht="15" customHeight="1">
      <c r="A45" s="278">
        <v>441</v>
      </c>
      <c r="B45" s="537"/>
      <c r="C45" s="280" t="s">
        <v>504</v>
      </c>
      <c r="D45" s="281">
        <v>1338</v>
      </c>
      <c r="E45" s="379">
        <v>0</v>
      </c>
      <c r="F45" s="281">
        <v>626</v>
      </c>
      <c r="G45" s="284"/>
    </row>
    <row r="46" spans="1:7" s="538" customFormat="1" ht="15" customHeight="1">
      <c r="A46" s="278">
        <v>442</v>
      </c>
      <c r="B46" s="537"/>
      <c r="C46" s="280" t="s">
        <v>505</v>
      </c>
      <c r="D46" s="281">
        <v>908</v>
      </c>
      <c r="E46" s="379">
        <v>1063.03</v>
      </c>
      <c r="F46" s="281">
        <v>460</v>
      </c>
      <c r="G46" s="558">
        <v>567</v>
      </c>
    </row>
    <row r="47" spans="1:7" s="260" customFormat="1" ht="15" customHeight="1">
      <c r="A47" s="274">
        <v>443</v>
      </c>
      <c r="B47" s="262"/>
      <c r="C47" s="263" t="s">
        <v>506</v>
      </c>
      <c r="D47" s="275">
        <v>0</v>
      </c>
      <c r="E47" s="264">
        <v>0</v>
      </c>
      <c r="F47" s="275">
        <v>0</v>
      </c>
      <c r="G47" s="348">
        <v>0</v>
      </c>
    </row>
    <row r="48" spans="1:7" s="260" customFormat="1" ht="15" customHeight="1">
      <c r="A48" s="274">
        <v>444</v>
      </c>
      <c r="B48" s="262"/>
      <c r="C48" s="263" t="s">
        <v>507</v>
      </c>
      <c r="D48" s="275">
        <v>0</v>
      </c>
      <c r="E48" s="264">
        <v>0</v>
      </c>
      <c r="F48" s="275">
        <v>0</v>
      </c>
      <c r="G48" s="348">
        <v>0</v>
      </c>
    </row>
    <row r="49" spans="1:7" s="260" customFormat="1" ht="15" customHeight="1">
      <c r="A49" s="274">
        <v>445</v>
      </c>
      <c r="B49" s="262"/>
      <c r="C49" s="263" t="s">
        <v>508</v>
      </c>
      <c r="D49" s="275">
        <v>1600</v>
      </c>
      <c r="E49" s="264">
        <v>1609.4</v>
      </c>
      <c r="F49" s="275">
        <v>3397.7</v>
      </c>
      <c r="G49" s="276">
        <v>3821</v>
      </c>
    </row>
    <row r="50" spans="1:7" s="260" customFormat="1" ht="15" customHeight="1">
      <c r="A50" s="274">
        <v>446</v>
      </c>
      <c r="B50" s="262"/>
      <c r="C50" s="263" t="s">
        <v>509</v>
      </c>
      <c r="D50" s="275">
        <v>51272</v>
      </c>
      <c r="E50" s="264">
        <v>47265</v>
      </c>
      <c r="F50" s="275">
        <v>48835</v>
      </c>
      <c r="G50" s="276">
        <v>49515</v>
      </c>
    </row>
    <row r="51" spans="1:7" s="538" customFormat="1" ht="15" customHeight="1">
      <c r="A51" s="278">
        <v>447</v>
      </c>
      <c r="B51" s="537"/>
      <c r="C51" s="280" t="s">
        <v>510</v>
      </c>
      <c r="D51" s="281">
        <v>9881</v>
      </c>
      <c r="E51" s="379">
        <v>8754.47</v>
      </c>
      <c r="F51" s="281">
        <v>7293</v>
      </c>
      <c r="G51" s="558">
        <v>6803</v>
      </c>
    </row>
    <row r="52" spans="1:7" s="260" customFormat="1" ht="15" customHeight="1">
      <c r="A52" s="274">
        <v>448</v>
      </c>
      <c r="B52" s="262"/>
      <c r="C52" s="263" t="s">
        <v>511</v>
      </c>
      <c r="D52" s="275">
        <v>0</v>
      </c>
      <c r="E52" s="264">
        <v>0</v>
      </c>
      <c r="F52" s="275">
        <v>0</v>
      </c>
      <c r="G52" s="348">
        <v>0</v>
      </c>
    </row>
    <row r="53" spans="1:7" s="538" customFormat="1" ht="15" customHeight="1">
      <c r="A53" s="278">
        <v>449</v>
      </c>
      <c r="B53" s="537"/>
      <c r="C53" s="280" t="s">
        <v>512</v>
      </c>
      <c r="D53" s="281">
        <v>0</v>
      </c>
      <c r="E53" s="379">
        <v>0</v>
      </c>
      <c r="F53" s="281">
        <v>0</v>
      </c>
      <c r="G53" s="284">
        <v>0</v>
      </c>
    </row>
    <row r="54" spans="1:7" s="285" customFormat="1" ht="13.5" customHeight="1">
      <c r="A54" s="329" t="s">
        <v>513</v>
      </c>
      <c r="B54" s="330"/>
      <c r="C54" s="330" t="s">
        <v>514</v>
      </c>
      <c r="D54" s="332">
        <v>0</v>
      </c>
      <c r="E54" s="331">
        <v>0</v>
      </c>
      <c r="F54" s="332">
        <v>0</v>
      </c>
      <c r="G54" s="563">
        <v>0</v>
      </c>
    </row>
    <row r="55" spans="1:7" ht="15" customHeight="1">
      <c r="A55" s="564"/>
      <c r="B55" s="335"/>
      <c r="C55" s="310" t="s">
        <v>515</v>
      </c>
      <c r="D55" s="311">
        <f>SUM(D44:D53)-SUM(D38:D43)</f>
        <v>72935</v>
      </c>
      <c r="E55" s="311">
        <f>SUM(E44:E53)-SUM(E38:E43)</f>
        <v>64460.350000000006</v>
      </c>
      <c r="F55" s="311">
        <f>SUM(F44:F53)-SUM(F38:F43)</f>
        <v>66671.5</v>
      </c>
      <c r="G55" s="311">
        <f>SUM(G44:G53)-SUM(G38:G43)</f>
        <v>65118.1</v>
      </c>
    </row>
    <row r="56" spans="1:7" ht="14.25" customHeight="1">
      <c r="A56" s="564"/>
      <c r="B56" s="335"/>
      <c r="C56" s="310" t="s">
        <v>516</v>
      </c>
      <c r="D56" s="311">
        <f>D55+D37</f>
        <v>102788.72999999998</v>
      </c>
      <c r="E56" s="311">
        <f>E55+E37</f>
        <v>1011.0000000003783</v>
      </c>
      <c r="F56" s="311">
        <f>F55+F37</f>
        <v>10576.800000000745</v>
      </c>
      <c r="G56" s="311">
        <f>G55+G37</f>
        <v>-37502.000000000095</v>
      </c>
    </row>
    <row r="57" spans="1:7" s="260" customFormat="1" ht="15.75" customHeight="1">
      <c r="A57" s="565">
        <v>380</v>
      </c>
      <c r="B57" s="337"/>
      <c r="C57" s="338" t="s">
        <v>517</v>
      </c>
      <c r="D57" s="340">
        <v>0</v>
      </c>
      <c r="E57" s="339">
        <v>0</v>
      </c>
      <c r="F57" s="340">
        <v>0</v>
      </c>
      <c r="G57" s="342">
        <v>0</v>
      </c>
    </row>
    <row r="58" spans="1:7" s="260" customFormat="1" ht="15.75" customHeight="1">
      <c r="A58" s="565">
        <v>381</v>
      </c>
      <c r="B58" s="337"/>
      <c r="C58" s="338" t="s">
        <v>518</v>
      </c>
      <c r="D58" s="340">
        <v>0</v>
      </c>
      <c r="E58" s="339">
        <v>0</v>
      </c>
      <c r="F58" s="340">
        <v>0</v>
      </c>
      <c r="G58" s="342">
        <v>0</v>
      </c>
    </row>
    <row r="59" spans="1:8" s="285" customFormat="1" ht="27" customHeight="1">
      <c r="A59" s="278">
        <v>383</v>
      </c>
      <c r="B59" s="279"/>
      <c r="C59" s="280" t="s">
        <v>519</v>
      </c>
      <c r="D59" s="344">
        <v>0</v>
      </c>
      <c r="E59" s="343">
        <v>0</v>
      </c>
      <c r="F59" s="344">
        <v>0</v>
      </c>
      <c r="G59" s="321">
        <v>0</v>
      </c>
      <c r="H59" s="562"/>
    </row>
    <row r="60" spans="1:8" s="285" customFormat="1" ht="12.75">
      <c r="A60" s="278">
        <v>3840</v>
      </c>
      <c r="B60" s="279"/>
      <c r="C60" s="280" t="s">
        <v>520</v>
      </c>
      <c r="D60" s="346">
        <v>0</v>
      </c>
      <c r="E60" s="346">
        <v>0</v>
      </c>
      <c r="F60" s="346">
        <v>0</v>
      </c>
      <c r="G60" s="482">
        <v>0</v>
      </c>
      <c r="H60" s="562"/>
    </row>
    <row r="61" spans="1:8" s="285" customFormat="1" ht="26.25" customHeight="1">
      <c r="A61" s="278">
        <v>3841</v>
      </c>
      <c r="B61" s="279"/>
      <c r="C61" s="280" t="s">
        <v>521</v>
      </c>
      <c r="D61" s="346">
        <v>0</v>
      </c>
      <c r="E61" s="346">
        <v>0</v>
      </c>
      <c r="F61" s="346">
        <v>0</v>
      </c>
      <c r="G61" s="482">
        <v>0</v>
      </c>
      <c r="H61" s="562"/>
    </row>
    <row r="62" spans="1:8" s="285" customFormat="1" ht="12.75">
      <c r="A62" s="349">
        <v>386</v>
      </c>
      <c r="B62" s="350"/>
      <c r="C62" s="351" t="s">
        <v>522</v>
      </c>
      <c r="D62" s="346">
        <v>0</v>
      </c>
      <c r="E62" s="346">
        <v>0</v>
      </c>
      <c r="F62" s="346">
        <v>0</v>
      </c>
      <c r="G62" s="482">
        <v>0</v>
      </c>
      <c r="H62" s="562"/>
    </row>
    <row r="63" spans="1:8" s="285" customFormat="1" ht="27" customHeight="1">
      <c r="A63" s="278">
        <v>387</v>
      </c>
      <c r="B63" s="279"/>
      <c r="C63" s="280" t="s">
        <v>523</v>
      </c>
      <c r="D63" s="346">
        <v>0</v>
      </c>
      <c r="E63" s="346">
        <v>0</v>
      </c>
      <c r="F63" s="346">
        <v>0</v>
      </c>
      <c r="G63" s="482">
        <v>0</v>
      </c>
      <c r="H63" s="562"/>
    </row>
    <row r="64" spans="1:8" s="285" customFormat="1" ht="12.75">
      <c r="A64" s="274">
        <v>389</v>
      </c>
      <c r="B64" s="352"/>
      <c r="C64" s="263" t="s">
        <v>138</v>
      </c>
      <c r="D64" s="275">
        <v>100000</v>
      </c>
      <c r="E64" s="275">
        <v>0</v>
      </c>
      <c r="F64" s="275">
        <v>0</v>
      </c>
      <c r="G64" s="276">
        <v>0</v>
      </c>
      <c r="H64" s="562"/>
    </row>
    <row r="65" spans="1:7" s="538" customFormat="1" ht="12.75">
      <c r="A65" s="278" t="s">
        <v>291</v>
      </c>
      <c r="B65" s="537"/>
      <c r="C65" s="280" t="s">
        <v>524</v>
      </c>
      <c r="D65" s="281">
        <v>0</v>
      </c>
      <c r="E65" s="281">
        <v>0</v>
      </c>
      <c r="F65" s="281">
        <v>0</v>
      </c>
      <c r="G65" s="558">
        <v>0</v>
      </c>
    </row>
    <row r="66" spans="1:7" s="355" customFormat="1" ht="25.5">
      <c r="A66" s="278" t="s">
        <v>293</v>
      </c>
      <c r="B66" s="354"/>
      <c r="C66" s="280" t="s">
        <v>525</v>
      </c>
      <c r="D66" s="344">
        <v>0</v>
      </c>
      <c r="E66" s="344">
        <v>0</v>
      </c>
      <c r="F66" s="344">
        <v>0</v>
      </c>
      <c r="G66" s="321">
        <v>0</v>
      </c>
    </row>
    <row r="67" spans="1:7" s="260" customFormat="1" ht="12.75">
      <c r="A67" s="278">
        <v>481</v>
      </c>
      <c r="B67" s="262"/>
      <c r="C67" s="263" t="s">
        <v>526</v>
      </c>
      <c r="D67" s="275">
        <v>0</v>
      </c>
      <c r="E67" s="275">
        <v>0</v>
      </c>
      <c r="F67" s="275">
        <v>0</v>
      </c>
      <c r="G67" s="276">
        <v>0</v>
      </c>
    </row>
    <row r="68" spans="1:7" s="260" customFormat="1" ht="12.75">
      <c r="A68" s="278">
        <v>482</v>
      </c>
      <c r="B68" s="262"/>
      <c r="C68" s="263" t="s">
        <v>527</v>
      </c>
      <c r="D68" s="275">
        <v>0</v>
      </c>
      <c r="E68" s="275">
        <v>0</v>
      </c>
      <c r="F68" s="275">
        <v>0</v>
      </c>
      <c r="G68" s="276">
        <v>0</v>
      </c>
    </row>
    <row r="69" spans="1:7" s="260" customFormat="1" ht="12.75">
      <c r="A69" s="278">
        <v>483</v>
      </c>
      <c r="B69" s="262"/>
      <c r="C69" s="263" t="s">
        <v>528</v>
      </c>
      <c r="D69" s="275">
        <v>0</v>
      </c>
      <c r="E69" s="275">
        <v>0</v>
      </c>
      <c r="F69" s="275">
        <v>0</v>
      </c>
      <c r="G69" s="276">
        <v>0</v>
      </c>
    </row>
    <row r="70" spans="1:7" s="260" customFormat="1" ht="12.75">
      <c r="A70" s="278">
        <v>484</v>
      </c>
      <c r="B70" s="262"/>
      <c r="C70" s="263" t="s">
        <v>529</v>
      </c>
      <c r="D70" s="275">
        <v>0</v>
      </c>
      <c r="E70" s="275">
        <v>0</v>
      </c>
      <c r="F70" s="275">
        <v>0</v>
      </c>
      <c r="G70" s="276">
        <v>0</v>
      </c>
    </row>
    <row r="71" spans="1:7" s="538" customFormat="1" ht="25.5">
      <c r="A71" s="278">
        <v>485</v>
      </c>
      <c r="B71" s="537"/>
      <c r="C71" s="280" t="s">
        <v>530</v>
      </c>
      <c r="D71" s="281">
        <v>0</v>
      </c>
      <c r="E71" s="281">
        <v>0</v>
      </c>
      <c r="F71" s="281">
        <v>0</v>
      </c>
      <c r="G71" s="558">
        <v>0</v>
      </c>
    </row>
    <row r="72" spans="1:7" s="260" customFormat="1" ht="12.75">
      <c r="A72" s="278">
        <v>486</v>
      </c>
      <c r="B72" s="262"/>
      <c r="C72" s="263" t="s">
        <v>531</v>
      </c>
      <c r="D72" s="275">
        <v>0</v>
      </c>
      <c r="E72" s="275">
        <v>0</v>
      </c>
      <c r="F72" s="275">
        <v>0</v>
      </c>
      <c r="G72" s="276">
        <v>0</v>
      </c>
    </row>
    <row r="73" spans="1:7" s="297" customFormat="1" ht="25.5">
      <c r="A73" s="278">
        <v>487</v>
      </c>
      <c r="B73" s="560"/>
      <c r="C73" s="280" t="s">
        <v>532</v>
      </c>
      <c r="D73" s="281">
        <v>0</v>
      </c>
      <c r="E73" s="379">
        <v>0</v>
      </c>
      <c r="F73" s="281">
        <v>0</v>
      </c>
      <c r="G73" s="558">
        <v>0</v>
      </c>
    </row>
    <row r="74" spans="1:8" s="285" customFormat="1" ht="15" customHeight="1">
      <c r="A74" s="278">
        <v>489</v>
      </c>
      <c r="B74" s="356"/>
      <c r="C74" s="303" t="s">
        <v>175</v>
      </c>
      <c r="D74" s="281">
        <v>0</v>
      </c>
      <c r="E74" s="379">
        <v>0</v>
      </c>
      <c r="F74" s="281">
        <v>0</v>
      </c>
      <c r="G74" s="558">
        <v>38000</v>
      </c>
      <c r="H74" s="562"/>
    </row>
    <row r="75" spans="1:8" s="285" customFormat="1" ht="12.75">
      <c r="A75" s="357" t="s">
        <v>533</v>
      </c>
      <c r="B75" s="356"/>
      <c r="C75" s="330" t="s">
        <v>534</v>
      </c>
      <c r="D75" s="275">
        <v>0</v>
      </c>
      <c r="E75" s="275">
        <v>0</v>
      </c>
      <c r="F75" s="275">
        <v>0</v>
      </c>
      <c r="G75" s="276">
        <v>0</v>
      </c>
      <c r="H75" s="562"/>
    </row>
    <row r="76" spans="1:7" ht="12.75">
      <c r="A76" s="557"/>
      <c r="B76" s="309"/>
      <c r="C76" s="310" t="s">
        <v>535</v>
      </c>
      <c r="D76" s="311">
        <f>SUM(D65:D74)-SUM(D57:D64)</f>
        <v>-100000</v>
      </c>
      <c r="E76" s="311">
        <f>SUM(E65:E74)-SUM(E57:E64)</f>
        <v>0</v>
      </c>
      <c r="F76" s="311">
        <f>SUM(F65:F74)-SUM(F57:F64)</f>
        <v>0</v>
      </c>
      <c r="G76" s="311">
        <f>SUM(G65:G74)-SUM(G57:G64)</f>
        <v>38000</v>
      </c>
    </row>
    <row r="77" spans="1:7" ht="12.75">
      <c r="A77" s="566"/>
      <c r="B77" s="358"/>
      <c r="C77" s="310" t="s">
        <v>536</v>
      </c>
      <c r="D77" s="311">
        <f>D56+D76</f>
        <v>2788.7299999999814</v>
      </c>
      <c r="E77" s="311">
        <f>E56+E76</f>
        <v>1011.0000000003783</v>
      </c>
      <c r="F77" s="311">
        <f>F56+F76</f>
        <v>10576.800000000745</v>
      </c>
      <c r="G77" s="311">
        <f>G56+G76</f>
        <v>497.9999999999054</v>
      </c>
    </row>
    <row r="78" spans="1:7" ht="12.75">
      <c r="A78" s="567">
        <v>3</v>
      </c>
      <c r="B78" s="359"/>
      <c r="C78" s="360" t="s">
        <v>306</v>
      </c>
      <c r="D78" s="361">
        <f>D20+D21+SUM(D38:D43)+SUM(D57:D64)</f>
        <v>3444450.8699999996</v>
      </c>
      <c r="E78" s="361">
        <f>E20+E21+SUM(E38:E43)+SUM(E57:E64)</f>
        <v>3613260.6500000004</v>
      </c>
      <c r="F78" s="361">
        <f>F20+F21+SUM(F38:F43)+SUM(F57:F64)</f>
        <v>3135985.5999999996</v>
      </c>
      <c r="G78" s="361">
        <f>G20+G21+SUM(G38:G43)+SUM(G57:G64)</f>
        <v>3203911.8</v>
      </c>
    </row>
    <row r="79" spans="1:7" ht="12.75">
      <c r="A79" s="567">
        <v>4</v>
      </c>
      <c r="B79" s="359"/>
      <c r="C79" s="360" t="s">
        <v>307</v>
      </c>
      <c r="D79" s="361">
        <f>D35+D36+SUM(D44:D53)+SUM(D65:D74)</f>
        <v>3447239.5999999996</v>
      </c>
      <c r="E79" s="361">
        <f>E35+E36+SUM(E44:E53)+SUM(E65:E74)</f>
        <v>3614271.650000001</v>
      </c>
      <c r="F79" s="361">
        <f>F35+F36+SUM(F44:F53)+SUM(F65:F74)</f>
        <v>3146562.4000000004</v>
      </c>
      <c r="G79" s="361">
        <f>G35+G36+SUM(G44:G53)+SUM(G65:G74)</f>
        <v>3204409.7</v>
      </c>
    </row>
    <row r="80" spans="1:7" ht="12.75">
      <c r="A80" s="568"/>
      <c r="B80" s="362"/>
      <c r="C80" s="363"/>
      <c r="D80" s="364"/>
      <c r="E80" s="364"/>
      <c r="F80" s="364"/>
      <c r="G80" s="364"/>
    </row>
    <row r="81" spans="1:7" ht="12.75">
      <c r="A81" s="611" t="s">
        <v>537</v>
      </c>
      <c r="B81" s="612"/>
      <c r="C81" s="612"/>
      <c r="D81" s="366"/>
      <c r="E81" s="365"/>
      <c r="F81" s="366"/>
      <c r="G81" s="366"/>
    </row>
    <row r="82" spans="1:7" s="260" customFormat="1" ht="12.75">
      <c r="A82" s="367">
        <v>50</v>
      </c>
      <c r="B82" s="368"/>
      <c r="C82" s="368" t="s">
        <v>538</v>
      </c>
      <c r="D82" s="275">
        <v>169426.26</v>
      </c>
      <c r="E82" s="275">
        <v>107792</v>
      </c>
      <c r="F82" s="275">
        <v>118053</v>
      </c>
      <c r="G82" s="276">
        <v>135870</v>
      </c>
    </row>
    <row r="83" spans="1:7" s="260" customFormat="1" ht="12.75">
      <c r="A83" s="367">
        <v>51</v>
      </c>
      <c r="B83" s="368"/>
      <c r="C83" s="368" t="s">
        <v>539</v>
      </c>
      <c r="D83" s="275">
        <v>0</v>
      </c>
      <c r="E83" s="275">
        <v>0</v>
      </c>
      <c r="F83" s="275">
        <v>0</v>
      </c>
      <c r="G83" s="276">
        <v>0</v>
      </c>
    </row>
    <row r="84" spans="1:7" s="260" customFormat="1" ht="12.75">
      <c r="A84" s="367">
        <v>52</v>
      </c>
      <c r="B84" s="368"/>
      <c r="C84" s="368" t="s">
        <v>540</v>
      </c>
      <c r="D84" s="275">
        <v>0</v>
      </c>
      <c r="E84" s="275">
        <v>0</v>
      </c>
      <c r="F84" s="275">
        <v>0</v>
      </c>
      <c r="G84" s="276">
        <v>0</v>
      </c>
    </row>
    <row r="85" spans="1:8" s="260" customFormat="1" ht="12.75">
      <c r="A85" s="369">
        <v>54</v>
      </c>
      <c r="B85" s="370"/>
      <c r="C85" s="370" t="s">
        <v>541</v>
      </c>
      <c r="D85" s="271">
        <v>32264</v>
      </c>
      <c r="E85" s="271">
        <v>16500</v>
      </c>
      <c r="F85" s="271">
        <v>11899</v>
      </c>
      <c r="G85" s="276">
        <v>14067</v>
      </c>
      <c r="H85" s="569"/>
    </row>
    <row r="86" spans="1:8" s="260" customFormat="1" ht="12.75">
      <c r="A86" s="369">
        <v>55</v>
      </c>
      <c r="B86" s="370"/>
      <c r="C86" s="370" t="s">
        <v>542</v>
      </c>
      <c r="D86" s="271">
        <v>1983</v>
      </c>
      <c r="E86" s="271">
        <v>200</v>
      </c>
      <c r="F86" s="271">
        <v>200</v>
      </c>
      <c r="G86" s="276">
        <v>1000</v>
      </c>
      <c r="H86" s="569"/>
    </row>
    <row r="87" spans="1:8" s="260" customFormat="1" ht="12.75">
      <c r="A87" s="369">
        <v>56</v>
      </c>
      <c r="B87" s="370"/>
      <c r="C87" s="370" t="s">
        <v>543</v>
      </c>
      <c r="D87" s="271">
        <v>38766</v>
      </c>
      <c r="E87" s="271">
        <v>34050</v>
      </c>
      <c r="F87" s="271">
        <v>31216</v>
      </c>
      <c r="G87" s="276">
        <v>38714</v>
      </c>
      <c r="H87" s="569"/>
    </row>
    <row r="88" spans="1:7" s="260" customFormat="1" ht="12.75">
      <c r="A88" s="367">
        <v>57</v>
      </c>
      <c r="B88" s="368"/>
      <c r="C88" s="368" t="s">
        <v>544</v>
      </c>
      <c r="D88" s="275">
        <v>22221</v>
      </c>
      <c r="E88" s="275">
        <v>13801.77</v>
      </c>
      <c r="F88" s="275">
        <v>16970</v>
      </c>
      <c r="G88" s="276">
        <v>16853</v>
      </c>
    </row>
    <row r="89" spans="1:7" s="538" customFormat="1" ht="25.5">
      <c r="A89" s="377">
        <v>580</v>
      </c>
      <c r="B89" s="378"/>
      <c r="C89" s="378" t="s">
        <v>545</v>
      </c>
      <c r="D89" s="281">
        <v>0</v>
      </c>
      <c r="E89" s="281">
        <v>0</v>
      </c>
      <c r="F89" s="281">
        <v>0</v>
      </c>
      <c r="G89" s="558">
        <v>0</v>
      </c>
    </row>
    <row r="90" spans="1:7" s="538" customFormat="1" ht="25.5">
      <c r="A90" s="377">
        <v>582</v>
      </c>
      <c r="B90" s="378"/>
      <c r="C90" s="378" t="s">
        <v>546</v>
      </c>
      <c r="D90" s="281">
        <v>0</v>
      </c>
      <c r="E90" s="281">
        <v>0</v>
      </c>
      <c r="F90" s="281">
        <v>0</v>
      </c>
      <c r="G90" s="558">
        <v>0</v>
      </c>
    </row>
    <row r="91" spans="1:7" s="260" customFormat="1" ht="12.75">
      <c r="A91" s="367">
        <v>584</v>
      </c>
      <c r="B91" s="368"/>
      <c r="C91" s="368" t="s">
        <v>547</v>
      </c>
      <c r="D91" s="275">
        <v>0</v>
      </c>
      <c r="E91" s="275">
        <v>0</v>
      </c>
      <c r="F91" s="275">
        <v>0</v>
      </c>
      <c r="G91" s="276">
        <v>0</v>
      </c>
    </row>
    <row r="92" spans="1:7" s="538" customFormat="1" ht="25.5">
      <c r="A92" s="377">
        <v>585</v>
      </c>
      <c r="B92" s="378"/>
      <c r="C92" s="378" t="s">
        <v>548</v>
      </c>
      <c r="D92" s="281">
        <v>0</v>
      </c>
      <c r="E92" s="281">
        <v>0</v>
      </c>
      <c r="F92" s="281">
        <v>0</v>
      </c>
      <c r="G92" s="558">
        <v>0</v>
      </c>
    </row>
    <row r="93" spans="1:7" s="260" customFormat="1" ht="12.75">
      <c r="A93" s="367">
        <v>586</v>
      </c>
      <c r="B93" s="368"/>
      <c r="C93" s="368" t="s">
        <v>549</v>
      </c>
      <c r="D93" s="275">
        <v>0</v>
      </c>
      <c r="E93" s="275">
        <v>0</v>
      </c>
      <c r="F93" s="275">
        <v>0</v>
      </c>
      <c r="G93" s="276">
        <v>0</v>
      </c>
    </row>
    <row r="94" spans="1:7" s="260" customFormat="1" ht="12.75">
      <c r="A94" s="371">
        <v>589</v>
      </c>
      <c r="B94" s="372"/>
      <c r="C94" s="372" t="s">
        <v>550</v>
      </c>
      <c r="D94" s="306">
        <v>0</v>
      </c>
      <c r="E94" s="306">
        <v>0</v>
      </c>
      <c r="F94" s="306">
        <v>0</v>
      </c>
      <c r="G94" s="308">
        <v>0</v>
      </c>
    </row>
    <row r="95" spans="1:7" ht="12.75">
      <c r="A95" s="374">
        <v>5</v>
      </c>
      <c r="B95" s="375"/>
      <c r="C95" s="375" t="s">
        <v>551</v>
      </c>
      <c r="D95" s="376">
        <f>SUM(D82:D94)</f>
        <v>264660.26</v>
      </c>
      <c r="E95" s="376">
        <f>SUM(E82:E94)</f>
        <v>172343.77</v>
      </c>
      <c r="F95" s="376">
        <f>SUM(F82:F94)</f>
        <v>178338</v>
      </c>
      <c r="G95" s="376">
        <f>SUM(G82:G94)</f>
        <v>206504</v>
      </c>
    </row>
    <row r="96" spans="1:7" s="538" customFormat="1" ht="25.5">
      <c r="A96" s="377">
        <v>60</v>
      </c>
      <c r="B96" s="378"/>
      <c r="C96" s="378" t="s">
        <v>552</v>
      </c>
      <c r="D96" s="281">
        <v>1865</v>
      </c>
      <c r="E96" s="281">
        <v>0</v>
      </c>
      <c r="F96" s="281">
        <v>629</v>
      </c>
      <c r="G96" s="558">
        <v>0</v>
      </c>
    </row>
    <row r="97" spans="1:7" s="538" customFormat="1" ht="25.5">
      <c r="A97" s="377">
        <v>61</v>
      </c>
      <c r="B97" s="378"/>
      <c r="C97" s="378" t="s">
        <v>553</v>
      </c>
      <c r="D97" s="281">
        <v>0</v>
      </c>
      <c r="E97" s="281">
        <v>0</v>
      </c>
      <c r="F97" s="281">
        <v>46</v>
      </c>
      <c r="G97" s="558">
        <v>0</v>
      </c>
    </row>
    <row r="98" spans="1:7" s="260" customFormat="1" ht="12.75">
      <c r="A98" s="367">
        <v>62</v>
      </c>
      <c r="B98" s="368"/>
      <c r="C98" s="368" t="s">
        <v>554</v>
      </c>
      <c r="D98" s="275">
        <v>0</v>
      </c>
      <c r="E98" s="275">
        <v>0</v>
      </c>
      <c r="F98" s="275">
        <v>0</v>
      </c>
      <c r="G98" s="276">
        <v>0</v>
      </c>
    </row>
    <row r="99" spans="1:7" s="260" customFormat="1" ht="12.75">
      <c r="A99" s="367">
        <v>63</v>
      </c>
      <c r="B99" s="368"/>
      <c r="C99" s="368" t="s">
        <v>555</v>
      </c>
      <c r="D99" s="275">
        <v>55166</v>
      </c>
      <c r="E99" s="275">
        <v>29538</v>
      </c>
      <c r="F99" s="275">
        <v>41281</v>
      </c>
      <c r="G99" s="276">
        <v>26530</v>
      </c>
    </row>
    <row r="100" spans="1:8" s="260" customFormat="1" ht="12.75">
      <c r="A100" s="367">
        <v>64</v>
      </c>
      <c r="B100" s="368"/>
      <c r="C100" s="368" t="s">
        <v>556</v>
      </c>
      <c r="D100" s="275">
        <v>7904</v>
      </c>
      <c r="E100" s="275">
        <v>8212</v>
      </c>
      <c r="F100" s="275">
        <v>8381</v>
      </c>
      <c r="G100" s="276">
        <v>8088</v>
      </c>
      <c r="H100" s="569"/>
    </row>
    <row r="101" spans="1:8" s="260" customFormat="1" ht="12.75">
      <c r="A101" s="367">
        <v>65</v>
      </c>
      <c r="B101" s="368"/>
      <c r="C101" s="368" t="s">
        <v>557</v>
      </c>
      <c r="D101" s="275">
        <v>0</v>
      </c>
      <c r="E101" s="275"/>
      <c r="F101" s="275"/>
      <c r="G101" s="276">
        <v>0</v>
      </c>
      <c r="H101" s="569"/>
    </row>
    <row r="102" spans="1:7" s="538" customFormat="1" ht="12.75">
      <c r="A102" s="377">
        <v>66</v>
      </c>
      <c r="B102" s="378"/>
      <c r="C102" s="378" t="s">
        <v>558</v>
      </c>
      <c r="D102" s="281">
        <v>29</v>
      </c>
      <c r="E102" s="281">
        <v>90</v>
      </c>
      <c r="F102" s="281">
        <v>452</v>
      </c>
      <c r="G102" s="558">
        <v>70</v>
      </c>
    </row>
    <row r="103" spans="1:7" s="260" customFormat="1" ht="12.75">
      <c r="A103" s="367">
        <v>67</v>
      </c>
      <c r="B103" s="368"/>
      <c r="C103" s="368" t="s">
        <v>544</v>
      </c>
      <c r="D103" s="275">
        <v>22193.55</v>
      </c>
      <c r="E103" s="275">
        <v>13801.77</v>
      </c>
      <c r="F103" s="275">
        <v>16970</v>
      </c>
      <c r="G103" s="267">
        <v>16853</v>
      </c>
    </row>
    <row r="104" spans="1:7" s="260" customFormat="1" ht="38.25">
      <c r="A104" s="377" t="s">
        <v>330</v>
      </c>
      <c r="B104" s="368"/>
      <c r="C104" s="378" t="s">
        <v>559</v>
      </c>
      <c r="D104" s="275">
        <v>0</v>
      </c>
      <c r="E104" s="275"/>
      <c r="F104" s="275"/>
      <c r="G104" s="276"/>
    </row>
    <row r="105" spans="1:7" s="260" customFormat="1" ht="56.25" customHeight="1">
      <c r="A105" s="381" t="s">
        <v>560</v>
      </c>
      <c r="B105" s="372"/>
      <c r="C105" s="382" t="s">
        <v>561</v>
      </c>
      <c r="D105" s="306">
        <v>0</v>
      </c>
      <c r="E105" s="306"/>
      <c r="F105" s="306"/>
      <c r="G105" s="308"/>
    </row>
    <row r="106" spans="1:7" ht="12.75">
      <c r="A106" s="374">
        <v>6</v>
      </c>
      <c r="B106" s="375"/>
      <c r="C106" s="375" t="s">
        <v>562</v>
      </c>
      <c r="D106" s="376">
        <f>SUM(D96:D105)</f>
        <v>87157.55</v>
      </c>
      <c r="E106" s="376">
        <f>SUM(E96:E105)</f>
        <v>51641.770000000004</v>
      </c>
      <c r="F106" s="376">
        <f>SUM(F96:F105)</f>
        <v>67759</v>
      </c>
      <c r="G106" s="376">
        <f>SUM(G96:G105)</f>
        <v>51541</v>
      </c>
    </row>
    <row r="107" spans="1:7" ht="12.75">
      <c r="A107" s="570" t="s">
        <v>335</v>
      </c>
      <c r="B107" s="386"/>
      <c r="C107" s="375" t="s">
        <v>4</v>
      </c>
      <c r="D107" s="376">
        <f>(D95-D88)-(D106-D103)</f>
        <v>177475.26</v>
      </c>
      <c r="E107" s="376">
        <f>(E95-E88)-(E106-E103)</f>
        <v>120702</v>
      </c>
      <c r="F107" s="376">
        <f>(F95-F88)-(F106-F103)</f>
        <v>110579</v>
      </c>
      <c r="G107" s="376">
        <f>(G95-G88)-(G106-G103)</f>
        <v>154963</v>
      </c>
    </row>
    <row r="108" spans="1:7" ht="12.75">
      <c r="A108" s="571" t="s">
        <v>336</v>
      </c>
      <c r="B108" s="387"/>
      <c r="C108" s="388" t="s">
        <v>563</v>
      </c>
      <c r="D108" s="376">
        <f>D107-D85-D86+D100+D101</f>
        <v>151132.26</v>
      </c>
      <c r="E108" s="376">
        <f>E107-E85-E86+E100+E101</f>
        <v>112214</v>
      </c>
      <c r="F108" s="376">
        <f>F107-F85-F86+F100+F101</f>
        <v>106861</v>
      </c>
      <c r="G108" s="376">
        <f>G107-G85-G86+G100+G101</f>
        <v>147984</v>
      </c>
    </row>
    <row r="109" spans="1:7" ht="12.75">
      <c r="A109" s="568"/>
      <c r="B109" s="362"/>
      <c r="C109" s="363"/>
      <c r="D109" s="364"/>
      <c r="E109" s="364"/>
      <c r="F109" s="364"/>
      <c r="G109" s="364"/>
    </row>
    <row r="110" spans="1:7" s="250" customFormat="1" ht="12.75">
      <c r="A110" s="572" t="s">
        <v>672</v>
      </c>
      <c r="B110" s="391"/>
      <c r="C110" s="390"/>
      <c r="D110" s="364"/>
      <c r="E110" s="364"/>
      <c r="F110" s="364"/>
      <c r="G110" s="364"/>
    </row>
    <row r="111" spans="1:7" s="396" customFormat="1" ht="12.75">
      <c r="A111" s="573">
        <v>10</v>
      </c>
      <c r="B111" s="393"/>
      <c r="C111" s="393" t="s">
        <v>564</v>
      </c>
      <c r="D111" s="394">
        <f>D112+D117</f>
        <v>2205667</v>
      </c>
      <c r="E111" s="394">
        <f>E112+E117</f>
        <v>0</v>
      </c>
      <c r="F111" s="394">
        <f>F112+F117</f>
        <v>2212674</v>
      </c>
      <c r="G111" s="395">
        <f>G112+G117</f>
        <v>0</v>
      </c>
    </row>
    <row r="112" spans="1:7" s="396" customFormat="1" ht="12.75">
      <c r="A112" s="397" t="s">
        <v>340</v>
      </c>
      <c r="B112" s="398"/>
      <c r="C112" s="398" t="s">
        <v>565</v>
      </c>
      <c r="D112" s="394">
        <f>D113+D114+D115+D116</f>
        <v>1270877</v>
      </c>
      <c r="E112" s="394">
        <f>E113+E114+E115+E116</f>
        <v>0</v>
      </c>
      <c r="F112" s="394">
        <f>F113+F114+F115+F116</f>
        <v>1345526</v>
      </c>
      <c r="G112" s="395">
        <f>G113+G114+G115+G116</f>
        <v>0</v>
      </c>
    </row>
    <row r="113" spans="1:7" s="396" customFormat="1" ht="12.75">
      <c r="A113" s="410" t="s">
        <v>342</v>
      </c>
      <c r="B113" s="411"/>
      <c r="C113" s="411" t="s">
        <v>566</v>
      </c>
      <c r="D113" s="275">
        <v>967805</v>
      </c>
      <c r="E113" s="275"/>
      <c r="F113" s="275">
        <v>1118527</v>
      </c>
      <c r="G113" s="277"/>
    </row>
    <row r="114" spans="1:7" s="406" customFormat="1" ht="15" customHeight="1">
      <c r="A114" s="414">
        <v>102</v>
      </c>
      <c r="B114" s="494"/>
      <c r="C114" s="494" t="s">
        <v>567</v>
      </c>
      <c r="D114" s="344">
        <v>108820</v>
      </c>
      <c r="E114" s="344"/>
      <c r="F114" s="344">
        <v>52261</v>
      </c>
      <c r="G114" s="495"/>
    </row>
    <row r="115" spans="1:7" s="396" customFormat="1" ht="12.75">
      <c r="A115" s="410">
        <v>104</v>
      </c>
      <c r="B115" s="411"/>
      <c r="C115" s="411" t="s">
        <v>568</v>
      </c>
      <c r="D115" s="275">
        <v>194252</v>
      </c>
      <c r="E115" s="275"/>
      <c r="F115" s="275">
        <v>174738</v>
      </c>
      <c r="G115" s="277"/>
    </row>
    <row r="116" spans="1:7" s="396" customFormat="1" ht="12.75">
      <c r="A116" s="410">
        <v>106</v>
      </c>
      <c r="B116" s="411"/>
      <c r="C116" s="411" t="s">
        <v>569</v>
      </c>
      <c r="D116" s="275">
        <v>0</v>
      </c>
      <c r="E116" s="275"/>
      <c r="F116" s="275">
        <v>0</v>
      </c>
      <c r="G116" s="277"/>
    </row>
    <row r="117" spans="1:7" s="396" customFormat="1" ht="12.75">
      <c r="A117" s="397" t="s">
        <v>347</v>
      </c>
      <c r="B117" s="398"/>
      <c r="C117" s="398" t="s">
        <v>570</v>
      </c>
      <c r="D117" s="394">
        <f>D118+D119+D120</f>
        <v>934790</v>
      </c>
      <c r="E117" s="394">
        <f>E118+E119+E120</f>
        <v>0</v>
      </c>
      <c r="F117" s="394">
        <f>F118+F119+F120</f>
        <v>867148</v>
      </c>
      <c r="G117" s="395">
        <f>G118+G119+G120</f>
        <v>0</v>
      </c>
    </row>
    <row r="118" spans="1:7" s="396" customFormat="1" ht="12.75">
      <c r="A118" s="410">
        <v>107</v>
      </c>
      <c r="B118" s="411"/>
      <c r="C118" s="411" t="s">
        <v>571</v>
      </c>
      <c r="D118" s="275">
        <v>922869</v>
      </c>
      <c r="E118" s="275"/>
      <c r="F118" s="275">
        <v>847383</v>
      </c>
      <c r="G118" s="277"/>
    </row>
    <row r="119" spans="1:7" s="396" customFormat="1" ht="12.75">
      <c r="A119" s="410">
        <v>108</v>
      </c>
      <c r="B119" s="411"/>
      <c r="C119" s="411" t="s">
        <v>572</v>
      </c>
      <c r="D119" s="275">
        <v>11921</v>
      </c>
      <c r="E119" s="275"/>
      <c r="F119" s="275">
        <v>19765</v>
      </c>
      <c r="G119" s="277"/>
    </row>
    <row r="120" spans="1:7" s="409" customFormat="1" ht="25.5">
      <c r="A120" s="414">
        <v>109</v>
      </c>
      <c r="B120" s="415"/>
      <c r="C120" s="415" t="s">
        <v>573</v>
      </c>
      <c r="D120" s="281">
        <v>0</v>
      </c>
      <c r="E120" s="281"/>
      <c r="F120" s="281">
        <v>0</v>
      </c>
      <c r="G120" s="496"/>
    </row>
    <row r="121" spans="1:7" s="396" customFormat="1" ht="12.75">
      <c r="A121" s="397">
        <v>14</v>
      </c>
      <c r="B121" s="398"/>
      <c r="C121" s="398" t="s">
        <v>574</v>
      </c>
      <c r="D121" s="394">
        <f>SUM(D122:D130)</f>
        <v>913499.79</v>
      </c>
      <c r="E121" s="394">
        <f>SUM(E122:E130)</f>
        <v>0</v>
      </c>
      <c r="F121" s="394">
        <f>SUM(F122:F130)</f>
        <v>799065</v>
      </c>
      <c r="G121" s="394">
        <f>SUM(G122:G130)</f>
        <v>0</v>
      </c>
    </row>
    <row r="122" spans="1:7" s="396" customFormat="1" ht="12.75">
      <c r="A122" s="410" t="s">
        <v>353</v>
      </c>
      <c r="B122" s="411"/>
      <c r="C122" s="411" t="s">
        <v>575</v>
      </c>
      <c r="D122" s="275">
        <v>660617.8</v>
      </c>
      <c r="E122" s="275"/>
      <c r="F122" s="275">
        <v>476955</v>
      </c>
      <c r="G122" s="277"/>
    </row>
    <row r="123" spans="1:7" s="396" customFormat="1" ht="12.75">
      <c r="A123" s="410">
        <v>144</v>
      </c>
      <c r="B123" s="411"/>
      <c r="C123" s="411" t="s">
        <v>541</v>
      </c>
      <c r="D123" s="275">
        <v>122036.99</v>
      </c>
      <c r="E123" s="275"/>
      <c r="F123" s="275">
        <v>191065</v>
      </c>
      <c r="G123" s="277"/>
    </row>
    <row r="124" spans="1:7" s="396" customFormat="1" ht="12.75">
      <c r="A124" s="410">
        <v>145</v>
      </c>
      <c r="B124" s="411"/>
      <c r="C124" s="411" t="s">
        <v>576</v>
      </c>
      <c r="D124" s="275">
        <v>130845</v>
      </c>
      <c r="E124" s="412"/>
      <c r="F124" s="275">
        <v>131045</v>
      </c>
      <c r="G124" s="413"/>
    </row>
    <row r="125" spans="1:7" s="396" customFormat="1" ht="12.75">
      <c r="A125" s="410">
        <v>146</v>
      </c>
      <c r="B125" s="411"/>
      <c r="C125" s="411" t="s">
        <v>577</v>
      </c>
      <c r="D125" s="275">
        <v>0</v>
      </c>
      <c r="E125" s="412"/>
      <c r="F125" s="275">
        <v>0</v>
      </c>
      <c r="G125" s="413"/>
    </row>
    <row r="126" spans="1:7" s="409" customFormat="1" ht="29.25" customHeight="1">
      <c r="A126" s="414" t="s">
        <v>357</v>
      </c>
      <c r="B126" s="415"/>
      <c r="C126" s="415" t="s">
        <v>578</v>
      </c>
      <c r="D126" s="281">
        <v>0</v>
      </c>
      <c r="E126" s="416"/>
      <c r="F126" s="281">
        <v>0</v>
      </c>
      <c r="G126" s="417"/>
    </row>
    <row r="127" spans="1:7" s="396" customFormat="1" ht="12.75">
      <c r="A127" s="410">
        <v>1484</v>
      </c>
      <c r="B127" s="411"/>
      <c r="C127" s="411" t="s">
        <v>579</v>
      </c>
      <c r="D127" s="275">
        <v>0</v>
      </c>
      <c r="E127" s="412"/>
      <c r="F127" s="275">
        <v>0</v>
      </c>
      <c r="G127" s="413"/>
    </row>
    <row r="128" spans="1:7" s="409" customFormat="1" ht="12.75">
      <c r="A128" s="414">
        <v>1485</v>
      </c>
      <c r="B128" s="415"/>
      <c r="C128" s="415" t="s">
        <v>580</v>
      </c>
      <c r="D128" s="281">
        <v>0</v>
      </c>
      <c r="E128" s="416"/>
      <c r="F128" s="281">
        <v>0</v>
      </c>
      <c r="G128" s="417"/>
    </row>
    <row r="129" spans="1:7" s="409" customFormat="1" ht="25.5">
      <c r="A129" s="414">
        <v>1486</v>
      </c>
      <c r="B129" s="415"/>
      <c r="C129" s="415" t="s">
        <v>581</v>
      </c>
      <c r="D129" s="281">
        <v>0</v>
      </c>
      <c r="E129" s="416"/>
      <c r="F129" s="281">
        <v>0</v>
      </c>
      <c r="G129" s="417"/>
    </row>
    <row r="130" spans="1:7" s="409" customFormat="1" ht="12.75">
      <c r="A130" s="544">
        <v>1489</v>
      </c>
      <c r="B130" s="545"/>
      <c r="C130" s="545" t="s">
        <v>582</v>
      </c>
      <c r="D130" s="547">
        <v>0</v>
      </c>
      <c r="E130" s="546"/>
      <c r="F130" s="547">
        <v>0</v>
      </c>
      <c r="G130" s="548"/>
    </row>
    <row r="131" spans="1:7" s="250" customFormat="1" ht="12.75">
      <c r="A131" s="574">
        <v>1</v>
      </c>
      <c r="B131" s="423"/>
      <c r="C131" s="422" t="s">
        <v>583</v>
      </c>
      <c r="D131" s="424">
        <f>D111+D121</f>
        <v>3119166.79</v>
      </c>
      <c r="E131" s="424">
        <f>E111+E121</f>
        <v>0</v>
      </c>
      <c r="F131" s="424">
        <f>F111+F121</f>
        <v>3011739</v>
      </c>
      <c r="G131" s="424">
        <f>G111+G121</f>
        <v>0</v>
      </c>
    </row>
    <row r="132" spans="1:7" s="250" customFormat="1" ht="12.75">
      <c r="A132" s="568"/>
      <c r="B132" s="362"/>
      <c r="C132" s="363"/>
      <c r="D132" s="364"/>
      <c r="E132" s="364"/>
      <c r="F132" s="364"/>
      <c r="G132" s="364"/>
    </row>
    <row r="133" spans="1:7" s="396" customFormat="1" ht="12.75">
      <c r="A133" s="573">
        <v>20</v>
      </c>
      <c r="B133" s="393"/>
      <c r="C133" s="393" t="s">
        <v>584</v>
      </c>
      <c r="D133" s="425">
        <f>D134+D140</f>
        <v>1463937.4</v>
      </c>
      <c r="E133" s="425">
        <f>E134+E140</f>
        <v>0</v>
      </c>
      <c r="F133" s="425">
        <f>F134+F140</f>
        <v>1473539</v>
      </c>
      <c r="G133" s="426">
        <f>G134+G140</f>
        <v>0</v>
      </c>
    </row>
    <row r="134" spans="1:7" s="396" customFormat="1" ht="12.75">
      <c r="A134" s="427" t="s">
        <v>365</v>
      </c>
      <c r="B134" s="398"/>
      <c r="C134" s="398" t="s">
        <v>585</v>
      </c>
      <c r="D134" s="394">
        <f>D135+D136+D138+D139</f>
        <v>822412.4</v>
      </c>
      <c r="E134" s="394">
        <f>E135+E136+E138+E139</f>
        <v>0</v>
      </c>
      <c r="F134" s="394">
        <f>F135+F136+F138+F139</f>
        <v>837454</v>
      </c>
      <c r="G134" s="395">
        <f>G135+G136+G138+G139</f>
        <v>0</v>
      </c>
    </row>
    <row r="135" spans="1:7" s="429" customFormat="1" ht="12.75">
      <c r="A135" s="428">
        <v>200</v>
      </c>
      <c r="B135" s="411"/>
      <c r="C135" s="411" t="s">
        <v>586</v>
      </c>
      <c r="D135" s="275">
        <v>483750</v>
      </c>
      <c r="E135" s="275"/>
      <c r="F135" s="275">
        <v>527173</v>
      </c>
      <c r="G135" s="277"/>
    </row>
    <row r="136" spans="1:7" s="429" customFormat="1" ht="12.75">
      <c r="A136" s="428">
        <v>201</v>
      </c>
      <c r="B136" s="411"/>
      <c r="C136" s="411" t="s">
        <v>587</v>
      </c>
      <c r="D136" s="275">
        <v>0</v>
      </c>
      <c r="E136" s="275"/>
      <c r="F136" s="275">
        <v>0</v>
      </c>
      <c r="G136" s="277"/>
    </row>
    <row r="137" spans="1:7" s="429" customFormat="1" ht="12.75">
      <c r="A137" s="430" t="s">
        <v>588</v>
      </c>
      <c r="B137" s="400"/>
      <c r="C137" s="400" t="s">
        <v>589</v>
      </c>
      <c r="D137" s="271">
        <v>0</v>
      </c>
      <c r="E137" s="431"/>
      <c r="F137" s="271">
        <v>0</v>
      </c>
      <c r="G137" s="432"/>
    </row>
    <row r="138" spans="1:7" s="429" customFormat="1" ht="12.75">
      <c r="A138" s="428">
        <v>204</v>
      </c>
      <c r="B138" s="411"/>
      <c r="C138" s="411" t="s">
        <v>590</v>
      </c>
      <c r="D138" s="275">
        <v>338662.4</v>
      </c>
      <c r="E138" s="412"/>
      <c r="F138" s="275">
        <v>310281</v>
      </c>
      <c r="G138" s="413"/>
    </row>
    <row r="139" spans="1:7" s="429" customFormat="1" ht="12.75">
      <c r="A139" s="428">
        <v>205</v>
      </c>
      <c r="B139" s="411"/>
      <c r="C139" s="411" t="s">
        <v>591</v>
      </c>
      <c r="D139" s="275"/>
      <c r="E139" s="412"/>
      <c r="F139" s="275">
        <v>0</v>
      </c>
      <c r="G139" s="413"/>
    </row>
    <row r="140" spans="1:7" s="429" customFormat="1" ht="12.75">
      <c r="A140" s="427" t="s">
        <v>373</v>
      </c>
      <c r="B140" s="398"/>
      <c r="C140" s="398" t="s">
        <v>592</v>
      </c>
      <c r="D140" s="394">
        <f>D141+D143+D144</f>
        <v>641525</v>
      </c>
      <c r="E140" s="394">
        <f>E141+E143+E144</f>
        <v>0</v>
      </c>
      <c r="F140" s="394">
        <f>F141+F143+F144</f>
        <v>636085</v>
      </c>
      <c r="G140" s="395">
        <f>G141+G143+G144</f>
        <v>0</v>
      </c>
    </row>
    <row r="141" spans="1:7" s="429" customFormat="1" ht="12.75">
      <c r="A141" s="428">
        <v>206</v>
      </c>
      <c r="B141" s="411"/>
      <c r="C141" s="411" t="s">
        <v>593</v>
      </c>
      <c r="D141" s="275">
        <v>360000</v>
      </c>
      <c r="E141" s="412"/>
      <c r="F141" s="275">
        <v>360000</v>
      </c>
      <c r="G141" s="413"/>
    </row>
    <row r="142" spans="1:7" s="429" customFormat="1" ht="12.75">
      <c r="A142" s="430" t="s">
        <v>594</v>
      </c>
      <c r="B142" s="400"/>
      <c r="C142" s="400" t="s">
        <v>595</v>
      </c>
      <c r="D142" s="271">
        <v>0</v>
      </c>
      <c r="E142" s="431"/>
      <c r="F142" s="271">
        <v>0</v>
      </c>
      <c r="G142" s="432"/>
    </row>
    <row r="143" spans="1:7" s="429" customFormat="1" ht="12.75">
      <c r="A143" s="428">
        <v>208</v>
      </c>
      <c r="B143" s="411"/>
      <c r="C143" s="411" t="s">
        <v>596</v>
      </c>
      <c r="D143" s="275">
        <v>281525</v>
      </c>
      <c r="E143" s="412"/>
      <c r="F143" s="275">
        <v>276085</v>
      </c>
      <c r="G143" s="413"/>
    </row>
    <row r="144" spans="1:7" s="433" customFormat="1" ht="25.5">
      <c r="A144" s="414">
        <v>209</v>
      </c>
      <c r="B144" s="415"/>
      <c r="C144" s="415" t="s">
        <v>597</v>
      </c>
      <c r="D144" s="281">
        <v>0</v>
      </c>
      <c r="E144" s="416"/>
      <c r="F144" s="281">
        <v>0</v>
      </c>
      <c r="G144" s="417"/>
    </row>
    <row r="145" spans="1:7" s="396" customFormat="1" ht="12.75">
      <c r="A145" s="427">
        <v>29</v>
      </c>
      <c r="B145" s="398"/>
      <c r="C145" s="398" t="s">
        <v>598</v>
      </c>
      <c r="D145" s="412">
        <v>1655230</v>
      </c>
      <c r="E145" s="412"/>
      <c r="F145" s="412">
        <v>1538200</v>
      </c>
      <c r="G145" s="413"/>
    </row>
    <row r="146" spans="1:7" s="396" customFormat="1" ht="12.75">
      <c r="A146" s="434" t="s">
        <v>599</v>
      </c>
      <c r="B146" s="435"/>
      <c r="C146" s="435" t="s">
        <v>600</v>
      </c>
      <c r="D146" s="332">
        <v>1340595.5</v>
      </c>
      <c r="E146" s="332"/>
      <c r="F146" s="332">
        <v>0</v>
      </c>
      <c r="G146" s="436"/>
    </row>
    <row r="147" spans="1:7" s="250" customFormat="1" ht="12.75">
      <c r="A147" s="574">
        <v>2</v>
      </c>
      <c r="B147" s="423"/>
      <c r="C147" s="422" t="s">
        <v>601</v>
      </c>
      <c r="D147" s="424">
        <f>D133+D145</f>
        <v>3119167.4</v>
      </c>
      <c r="E147" s="424">
        <f>E133+E145</f>
        <v>0</v>
      </c>
      <c r="F147" s="424">
        <f>F133+F145</f>
        <v>3011739</v>
      </c>
      <c r="G147" s="424">
        <f>G133+G145</f>
        <v>0</v>
      </c>
    </row>
    <row r="148" spans="4:6" ht="7.5" customHeight="1">
      <c r="D148" s="250"/>
      <c r="F148" s="250"/>
    </row>
    <row r="149" spans="1:7" ht="13.5" customHeight="1">
      <c r="A149" s="575" t="s">
        <v>602</v>
      </c>
      <c r="B149" s="438"/>
      <c r="C149" s="439"/>
      <c r="D149" s="438"/>
      <c r="E149" s="438"/>
      <c r="F149" s="438"/>
      <c r="G149" s="438"/>
    </row>
    <row r="150" spans="1:7" ht="12.75">
      <c r="A150" s="509" t="s">
        <v>603</v>
      </c>
      <c r="B150" s="509"/>
      <c r="C150" s="509" t="s">
        <v>156</v>
      </c>
      <c r="D150" s="442">
        <f>D77+SUM(D8:D12)-D30-D31+D16-D33+D59+D63-D73+D64-D74-D54+D20-D35</f>
        <v>243276.09999999998</v>
      </c>
      <c r="E150" s="442">
        <f>E77+SUM(E8:E12)-E30-E31+E16-E33+E59+E63-E73+E64-E74-E54+E20-E35</f>
        <v>220118.21000000037</v>
      </c>
      <c r="F150" s="442">
        <f>F77+SUM(F8:F12)-F30-F31+F16-F33+F59+F63-F73+F64-F74-F54+F20-F35</f>
        <v>114078.50000000073</v>
      </c>
      <c r="G150" s="442">
        <f>G77+SUM(G8:G12)-G30-G31+G16-G33+G59+G63-G73+G64-G74-G54+G20-G35</f>
        <v>34209.59999999992</v>
      </c>
    </row>
    <row r="151" spans="1:7" ht="12.75">
      <c r="A151" s="510" t="s">
        <v>604</v>
      </c>
      <c r="B151" s="510"/>
      <c r="C151" s="510" t="s">
        <v>605</v>
      </c>
      <c r="D151" s="445">
        <f>IF(D177=0,0,D150/D177)</f>
        <v>0.0761036496520708</v>
      </c>
      <c r="E151" s="445">
        <f>IF(E177=0,0,E150/E177)</f>
        <v>0.06976920468761087</v>
      </c>
      <c r="F151" s="445">
        <f>IF(F177=0,0,F150/F177)</f>
        <v>0.03931063647197034</v>
      </c>
      <c r="G151" s="445">
        <f>IF(G177=0,0,G150/G177)</f>
        <v>0.01174902470964524</v>
      </c>
    </row>
    <row r="152" spans="1:7" s="449" customFormat="1" ht="25.5">
      <c r="A152" s="511" t="s">
        <v>606</v>
      </c>
      <c r="B152" s="511"/>
      <c r="C152" s="511" t="s">
        <v>607</v>
      </c>
      <c r="D152" s="448">
        <f>IF(IF(D107=0,0,D$150/D107)&lt;0,"negativ",(IF(D107=0,0,D$150/D107)))</f>
        <v>1.3707606344681504</v>
      </c>
      <c r="E152" s="448">
        <f>IF(IF(E107=0,0,E$150/E107)&lt;0,"negativ",(IF(E107=0,0,E$150/E107)))</f>
        <v>1.8236500637934778</v>
      </c>
      <c r="F152" s="448">
        <f>IF(IF(F107=0,0,F$150/F107)&lt;0,"negativ",(IF(F107=0,0,F$150/F107)))</f>
        <v>1.0316470577596173</v>
      </c>
      <c r="G152" s="448">
        <f>IF(IF(G107=0,0,G$150/G107)&lt;0,"negativ",(IF(G107=0,0,G$150/G107)))</f>
        <v>0.2207597942734712</v>
      </c>
    </row>
    <row r="153" spans="1:7" s="449" customFormat="1" ht="25.5">
      <c r="A153" s="512" t="s">
        <v>606</v>
      </c>
      <c r="B153" s="512"/>
      <c r="C153" s="512" t="s">
        <v>608</v>
      </c>
      <c r="D153" s="452">
        <f>IF(IF(D108=0,0,D$150/D108)&lt;0,"negativ",(IF(D108=0,0,D$150/D108)))</f>
        <v>1.6096900820513103</v>
      </c>
      <c r="E153" s="452">
        <f>IF(IF(E108=0,0,E$150/E108)&lt;0,"negativ",(IF(E108=0,0,E$150/E108)))</f>
        <v>1.9615931167234069</v>
      </c>
      <c r="F153" s="452">
        <f>IF(IF(F108=0,0,F$150/F108)&lt;0,"negativ",(IF(F108=0,0,F$150/F108)))</f>
        <v>1.06754101122019</v>
      </c>
      <c r="G153" s="452">
        <f>IF(IF(G108=0,0,G$150/G108)&lt;0,"negativ",(IF(G108=0,0,G$150/G108)))</f>
        <v>0.23117093739863714</v>
      </c>
    </row>
    <row r="154" spans="1:7" s="449" customFormat="1" ht="25.5">
      <c r="A154" s="513" t="s">
        <v>609</v>
      </c>
      <c r="B154" s="513"/>
      <c r="C154" s="513" t="s">
        <v>610</v>
      </c>
      <c r="D154" s="455">
        <f>D150-D107</f>
        <v>65800.83999999997</v>
      </c>
      <c r="E154" s="455">
        <f>E150-E107</f>
        <v>99416.21000000037</v>
      </c>
      <c r="F154" s="455">
        <f>F150-F107</f>
        <v>3499.5000000007276</v>
      </c>
      <c r="G154" s="455">
        <f>G150-G107</f>
        <v>-120753.40000000008</v>
      </c>
    </row>
    <row r="155" spans="1:7" ht="27" customHeight="1">
      <c r="A155" s="512" t="s">
        <v>611</v>
      </c>
      <c r="B155" s="512"/>
      <c r="C155" s="512" t="s">
        <v>612</v>
      </c>
      <c r="D155" s="456">
        <f>D150-D108</f>
        <v>92143.83999999997</v>
      </c>
      <c r="E155" s="456">
        <f>E150-E108</f>
        <v>107904.21000000037</v>
      </c>
      <c r="F155" s="456">
        <f>F150-F108</f>
        <v>7217.500000000728</v>
      </c>
      <c r="G155" s="456">
        <f>G150-G108</f>
        <v>-113774.40000000008</v>
      </c>
    </row>
    <row r="156" spans="1:7" ht="12.75">
      <c r="A156" s="509" t="s">
        <v>613</v>
      </c>
      <c r="B156" s="509"/>
      <c r="C156" s="509" t="s">
        <v>614</v>
      </c>
      <c r="D156" s="457">
        <f>D135+D136-D137+D141-D142</f>
        <v>843750</v>
      </c>
      <c r="E156" s="457">
        <f>E135+E136-E137+E141-E142</f>
        <v>0</v>
      </c>
      <c r="F156" s="457">
        <f>F135+F136-F137+F141-F142</f>
        <v>887173</v>
      </c>
      <c r="G156" s="457">
        <f>G135+G136-G137+G141-G142</f>
        <v>0</v>
      </c>
    </row>
    <row r="157" spans="1:7" ht="12.75">
      <c r="A157" s="514" t="s">
        <v>615</v>
      </c>
      <c r="B157" s="514"/>
      <c r="C157" s="514" t="s">
        <v>616</v>
      </c>
      <c r="D157" s="460">
        <f>IF(D177=0,0,D156/D177)</f>
        <v>0.26394888110231435</v>
      </c>
      <c r="E157" s="460">
        <f>IF(E177=0,0,E156/E177)</f>
        <v>0</v>
      </c>
      <c r="F157" s="460">
        <f>IF(F177=0,0,F156/F177)</f>
        <v>0.3057134805484567</v>
      </c>
      <c r="G157" s="460">
        <f>IF(G177=0,0,G156/G177)</f>
        <v>0</v>
      </c>
    </row>
    <row r="158" spans="1:7" ht="12.75">
      <c r="A158" s="509" t="s">
        <v>617</v>
      </c>
      <c r="B158" s="509"/>
      <c r="C158" s="509" t="s">
        <v>618</v>
      </c>
      <c r="D158" s="457">
        <f>D133-D142-D111</f>
        <v>-741729.6000000001</v>
      </c>
      <c r="E158" s="457">
        <f>E133-E142-E111</f>
        <v>0</v>
      </c>
      <c r="F158" s="457">
        <f>F133-F142-F111</f>
        <v>-739135</v>
      </c>
      <c r="G158" s="457">
        <f>G133-G142-G111</f>
        <v>0</v>
      </c>
    </row>
    <row r="159" spans="1:7" ht="12.75">
      <c r="A159" s="510" t="s">
        <v>619</v>
      </c>
      <c r="B159" s="510"/>
      <c r="C159" s="510" t="s">
        <v>620</v>
      </c>
      <c r="D159" s="461">
        <f>D121-D123-D124-D142-D145</f>
        <v>-994612.2</v>
      </c>
      <c r="E159" s="461">
        <f>E121-E123-E124-E142-E145</f>
        <v>0</v>
      </c>
      <c r="F159" s="461">
        <f>F121-F123-F124-F142-F145</f>
        <v>-1061245</v>
      </c>
      <c r="G159" s="461">
        <f>G121-G123-G124-G142-G145</f>
        <v>0</v>
      </c>
    </row>
    <row r="160" spans="1:7" ht="12.75">
      <c r="A160" s="510" t="s">
        <v>621</v>
      </c>
      <c r="B160" s="510"/>
      <c r="C160" s="510" t="s">
        <v>622</v>
      </c>
      <c r="D160" s="462">
        <f>IF(D175=0,"-",1000*D158/D175)</f>
        <v>-2606.712447196587</v>
      </c>
      <c r="E160" s="462">
        <f>IF(E175=0,"-",1000*E158/E175)</f>
        <v>0</v>
      </c>
      <c r="F160" s="462">
        <f>IF(F175=0,"-",1000*F158/F175)</f>
        <v>-2596.4808127362403</v>
      </c>
      <c r="G160" s="462">
        <f>IF(G175=0,"-",1000*G158/G175)</f>
        <v>0</v>
      </c>
    </row>
    <row r="161" spans="1:7" ht="12.75">
      <c r="A161" s="510" t="s">
        <v>621</v>
      </c>
      <c r="B161" s="510"/>
      <c r="C161" s="510" t="s">
        <v>623</v>
      </c>
      <c r="D161" s="461">
        <f>IF(D175=0,0,1000*(D159/D175))</f>
        <v>-3495.4355359063206</v>
      </c>
      <c r="E161" s="461">
        <f>IF(E175=0,0,1000*(E159/E175))</f>
        <v>0</v>
      </c>
      <c r="F161" s="461">
        <f>IF(F175=0,0,1000*(F159/F175))</f>
        <v>-3728.0094706816362</v>
      </c>
      <c r="G161" s="461">
        <f>IF(G175=0,0,1000*(G159/G175))</f>
        <v>0</v>
      </c>
    </row>
    <row r="162" spans="1:7" ht="12.75">
      <c r="A162" s="514" t="s">
        <v>624</v>
      </c>
      <c r="B162" s="514"/>
      <c r="C162" s="514" t="s">
        <v>625</v>
      </c>
      <c r="D162" s="460">
        <f>IF((D22+D23+D65+D66)=0,0,D158/(D22+D23+D65+D66))</f>
        <v>-0.6579583436823618</v>
      </c>
      <c r="E162" s="460">
        <f>IF((E22+E23+E65+E66)=0,0,E158/(E22+E23+E65+E66))</f>
        <v>0</v>
      </c>
      <c r="F162" s="460">
        <f>IF((F22+F23+F65+F66)=0,0,F158/(F22+F23+F65+F66))</f>
        <v>-0.6599641791513875</v>
      </c>
      <c r="G162" s="460">
        <f>IF((G22+G23+G65+G66)=0,0,G158/(G22+G23+G65+G66))</f>
        <v>0</v>
      </c>
    </row>
    <row r="163" spans="1:7" ht="12.75">
      <c r="A163" s="510" t="s">
        <v>626</v>
      </c>
      <c r="B163" s="510"/>
      <c r="C163" s="510" t="s">
        <v>627</v>
      </c>
      <c r="D163" s="442">
        <f>D145</f>
        <v>1655230</v>
      </c>
      <c r="E163" s="442">
        <f>E145</f>
        <v>0</v>
      </c>
      <c r="F163" s="442">
        <f>F145</f>
        <v>1538200</v>
      </c>
      <c r="G163" s="442">
        <f>G145</f>
        <v>0</v>
      </c>
    </row>
    <row r="164" spans="1:7" ht="25.5">
      <c r="A164" s="512" t="s">
        <v>628</v>
      </c>
      <c r="B164" s="514"/>
      <c r="C164" s="514" t="s">
        <v>629</v>
      </c>
      <c r="D164" s="452">
        <f>IF(D178=0,0,D146/D178)</f>
        <v>0.4332894191341528</v>
      </c>
      <c r="E164" s="452">
        <f>IF(E178=0,0,E146/E178)</f>
        <v>0</v>
      </c>
      <c r="F164" s="452">
        <f>IF(F178=0,0,F146/F178)</f>
        <v>0</v>
      </c>
      <c r="G164" s="452">
        <f>IF(G178=0,0,G146/G178)</f>
        <v>0</v>
      </c>
    </row>
    <row r="165" spans="1:7" ht="12.75">
      <c r="A165" s="515" t="s">
        <v>682</v>
      </c>
      <c r="B165" s="515"/>
      <c r="C165" s="515" t="s">
        <v>631</v>
      </c>
      <c r="D165" s="465">
        <f>IF(D177=0,0,D180/D177)</f>
        <v>0.04439573881552005</v>
      </c>
      <c r="E165" s="465">
        <f>IF(E177=0,0,E180/E177)</f>
        <v>0.07710074875529799</v>
      </c>
      <c r="F165" s="465">
        <f>IF(F177=0,0,F180/F177)</f>
        <v>0.030134232013131465</v>
      </c>
      <c r="G165" s="465">
        <f>IF(G177=0,0,G180/G177)</f>
        <v>0.03593519517999297</v>
      </c>
    </row>
    <row r="166" spans="1:7" ht="12.75">
      <c r="A166" s="510" t="s">
        <v>632</v>
      </c>
      <c r="B166" s="510"/>
      <c r="C166" s="510" t="s">
        <v>633</v>
      </c>
      <c r="D166" s="442">
        <f>D55</f>
        <v>72935</v>
      </c>
      <c r="E166" s="442">
        <f>E55</f>
        <v>64460.350000000006</v>
      </c>
      <c r="F166" s="442">
        <f>F55</f>
        <v>66671.5</v>
      </c>
      <c r="G166" s="442">
        <f>G55</f>
        <v>65118.1</v>
      </c>
    </row>
    <row r="167" spans="1:7" s="449" customFormat="1" ht="25.5">
      <c r="A167" s="512" t="s">
        <v>634</v>
      </c>
      <c r="B167" s="514"/>
      <c r="C167" s="514" t="s">
        <v>635</v>
      </c>
      <c r="D167" s="452">
        <f>IF(0=D111,0,(D44+D45+D46+D47+D48)/D111)</f>
        <v>0.014800511591278284</v>
      </c>
      <c r="E167" s="452">
        <f>IF(0=E111,0,(E44+E45+E46+E47+E48)/E111)</f>
        <v>0</v>
      </c>
      <c r="F167" s="452">
        <f>IF(0=F111,0,(F44+F45+F46+F47+F48)/F111)</f>
        <v>0.010585291823377505</v>
      </c>
      <c r="G167" s="452">
        <f>IF(0=G111,0,(G44+G45+G46+G47+G48)/G111)</f>
        <v>0</v>
      </c>
    </row>
    <row r="168" spans="1:7" ht="12.75">
      <c r="A168" s="510" t="s">
        <v>636</v>
      </c>
      <c r="B168" s="509"/>
      <c r="C168" s="509" t="s">
        <v>637</v>
      </c>
      <c r="D168" s="442">
        <f>D38-D44</f>
        <v>-8263</v>
      </c>
      <c r="E168" s="442">
        <f>E38-E44</f>
        <v>-5804.450000000001</v>
      </c>
      <c r="F168" s="442">
        <f>F38-F44</f>
        <v>-6072.799999999999</v>
      </c>
      <c r="G168" s="442">
        <f>G38-G44</f>
        <v>-4428.1</v>
      </c>
    </row>
    <row r="169" spans="1:7" ht="12.75">
      <c r="A169" s="514" t="s">
        <v>638</v>
      </c>
      <c r="B169" s="514"/>
      <c r="C169" s="514" t="s">
        <v>639</v>
      </c>
      <c r="D169" s="445">
        <f>IF(D177=0,0,D168/D177)</f>
        <v>-0.002584900272057391</v>
      </c>
      <c r="E169" s="445">
        <f>IF(E177=0,0,E168/E177)</f>
        <v>-0.0018397926284654154</v>
      </c>
      <c r="F169" s="445">
        <f>IF(F177=0,0,F168/F177)</f>
        <v>-0.002092643514483272</v>
      </c>
      <c r="G169" s="445">
        <f>IF(G177=0,0,G168/G177)</f>
        <v>-0.0015207969785317635</v>
      </c>
    </row>
    <row r="170" spans="1:7" ht="12.75">
      <c r="A170" s="510" t="s">
        <v>640</v>
      </c>
      <c r="B170" s="510"/>
      <c r="C170" s="510" t="s">
        <v>641</v>
      </c>
      <c r="D170" s="442">
        <f>SUM(D82:D87)+SUM(D89:D94)</f>
        <v>242439.26</v>
      </c>
      <c r="E170" s="442">
        <f>SUM(E82:E87)+SUM(E89:E94)</f>
        <v>158542</v>
      </c>
      <c r="F170" s="442">
        <f>SUM(F82:F87)+SUM(F89:F94)</f>
        <v>161368</v>
      </c>
      <c r="G170" s="442">
        <f>SUM(G82:G87)+SUM(G89:G94)</f>
        <v>189651</v>
      </c>
    </row>
    <row r="171" spans="1:7" ht="12.75">
      <c r="A171" s="510" t="s">
        <v>642</v>
      </c>
      <c r="B171" s="510"/>
      <c r="C171" s="510" t="s">
        <v>643</v>
      </c>
      <c r="D171" s="461">
        <f>SUM(D96:D102)+SUM(D104:D105)</f>
        <v>64964</v>
      </c>
      <c r="E171" s="461">
        <f>SUM(E96:E102)+SUM(E104:E105)</f>
        <v>37840</v>
      </c>
      <c r="F171" s="461">
        <f>SUM(F96:F102)+SUM(F104:F105)</f>
        <v>50789</v>
      </c>
      <c r="G171" s="461">
        <f>SUM(G96:G102)+SUM(G104:G105)</f>
        <v>34688</v>
      </c>
    </row>
    <row r="172" spans="1:7" ht="12.75">
      <c r="A172" s="515" t="s">
        <v>630</v>
      </c>
      <c r="B172" s="515"/>
      <c r="C172" s="515" t="s">
        <v>644</v>
      </c>
      <c r="D172" s="465">
        <f>IF(D184=0,0,D170/D184)</f>
        <v>0.07812877821099931</v>
      </c>
      <c r="E172" s="465">
        <f>IF(E184=0,0,E170/E184)</f>
        <v>0.05257437663324134</v>
      </c>
      <c r="F172" s="465">
        <f>IF(F184=0,0,F170/F184)</f>
        <v>0.05592476648079489</v>
      </c>
      <c r="G172" s="465">
        <f>IF(G184=0,0,G170/G184)</f>
        <v>0.06340856149150327</v>
      </c>
    </row>
    <row r="174" spans="1:7" ht="12.75">
      <c r="A174" s="576" t="s">
        <v>645</v>
      </c>
      <c r="B174" s="468"/>
      <c r="C174" s="467"/>
      <c r="D174" s="498"/>
      <c r="E174" s="498"/>
      <c r="F174" s="498"/>
      <c r="G174" s="498"/>
    </row>
    <row r="175" spans="1:7" s="260" customFormat="1" ht="12.75">
      <c r="A175" s="577" t="s">
        <v>646</v>
      </c>
      <c r="B175" s="468"/>
      <c r="C175" s="468" t="s">
        <v>647</v>
      </c>
      <c r="D175" s="470">
        <v>284546</v>
      </c>
      <c r="E175" s="470">
        <v>284546</v>
      </c>
      <c r="F175" s="470">
        <v>284668</v>
      </c>
      <c r="G175" s="470">
        <v>284668</v>
      </c>
    </row>
    <row r="176" spans="1:7" ht="12.75">
      <c r="A176" s="576" t="s">
        <v>648</v>
      </c>
      <c r="B176" s="468"/>
      <c r="C176" s="468"/>
      <c r="D176" s="468"/>
      <c r="E176" s="468"/>
      <c r="F176" s="468"/>
      <c r="G176" s="468"/>
    </row>
    <row r="177" spans="1:7" ht="12.75">
      <c r="A177" s="577" t="s">
        <v>649</v>
      </c>
      <c r="B177" s="468"/>
      <c r="C177" s="468" t="s">
        <v>650</v>
      </c>
      <c r="D177" s="472">
        <f>SUM(D22:D32)+SUM(D44:D53)+SUM(D65:D72)+D75</f>
        <v>3196641.6999999997</v>
      </c>
      <c r="E177" s="472">
        <f>SUM(E22:E32)+SUM(E44:E53)+SUM(E65:E72)+E75</f>
        <v>3154947.9600000004</v>
      </c>
      <c r="F177" s="472">
        <f>SUM(F22:F32)+SUM(F44:F53)+SUM(F65:F72)+F75</f>
        <v>2901975.4000000004</v>
      </c>
      <c r="G177" s="472">
        <f>SUM(G22:G32)+SUM(G44:G53)+SUM(G65:G72)+G75</f>
        <v>2911697</v>
      </c>
    </row>
    <row r="178" spans="1:7" ht="12.75">
      <c r="A178" s="577" t="s">
        <v>651</v>
      </c>
      <c r="B178" s="468"/>
      <c r="C178" s="468" t="s">
        <v>652</v>
      </c>
      <c r="D178" s="472">
        <f>D78-D17-D20-D59-D63-D64</f>
        <v>3093995.4699999997</v>
      </c>
      <c r="E178" s="472">
        <f>E78-E17-E20-E59-E63-E64</f>
        <v>3153936.96</v>
      </c>
      <c r="F178" s="472">
        <f>F78-F17-F20-F59-F63-F64</f>
        <v>2892148.5999999996</v>
      </c>
      <c r="G178" s="472">
        <f>G78-G17-G20-G59-G63-G64</f>
        <v>2949199.3</v>
      </c>
    </row>
    <row r="179" spans="1:7" ht="12.75">
      <c r="A179" s="577"/>
      <c r="B179" s="468"/>
      <c r="C179" s="468" t="s">
        <v>653</v>
      </c>
      <c r="D179" s="472">
        <f>D178+D170</f>
        <v>3336434.7299999995</v>
      </c>
      <c r="E179" s="472">
        <f>E178+E170</f>
        <v>3312478.96</v>
      </c>
      <c r="F179" s="472">
        <f>F178+F170</f>
        <v>3053516.5999999996</v>
      </c>
      <c r="G179" s="472">
        <f>G178+G170</f>
        <v>3138850.3</v>
      </c>
    </row>
    <row r="180" spans="1:7" ht="12.75">
      <c r="A180" s="468" t="s">
        <v>654</v>
      </c>
      <c r="B180" s="468"/>
      <c r="C180" s="468" t="s">
        <v>655</v>
      </c>
      <c r="D180" s="472">
        <f>D38-D44+D8+D9+D10+D16-D33</f>
        <v>141917.27</v>
      </c>
      <c r="E180" s="472">
        <f>E38-E44+E8+E9+E10+E16-E33</f>
        <v>243248.84999999998</v>
      </c>
      <c r="F180" s="472">
        <f>F38-F44+F8+F9+F10+F16-F33</f>
        <v>87448.8</v>
      </c>
      <c r="G180" s="472">
        <f>G38-G44+G8+G9+G10+G16-G33</f>
        <v>104632.4</v>
      </c>
    </row>
    <row r="181" spans="1:7" ht="27" customHeight="1">
      <c r="A181" s="578" t="s">
        <v>656</v>
      </c>
      <c r="B181" s="474"/>
      <c r="C181" s="474" t="s">
        <v>657</v>
      </c>
      <c r="D181" s="475">
        <f>D22+D23+D24+D25+D26+D29+SUM(D44:D47)+SUM(D49:D53)-D54+D32-D33+SUM(D65:D70)+D72</f>
        <v>3117757.8</v>
      </c>
      <c r="E181" s="475">
        <f>E22+E23+E24+E25+E26+E29+SUM(E44:E47)+SUM(E49:E53)-E54+E32-E33+SUM(E65:E70)+E72</f>
        <v>3091159.67</v>
      </c>
      <c r="F181" s="475">
        <f>F22+F23+F24+F25+F26+F29+SUM(F44:F47)+SUM(F49:F53)-F54+F32-F33+SUM(F65:F70)+F72</f>
        <v>2851094.8</v>
      </c>
      <c r="G181" s="475">
        <f>G22+G23+G24+G25+G26+G29+SUM(G44:G47)+SUM(G49:G53)-G54+G32-G33+SUM(G65:G70)+G72</f>
        <v>2835210</v>
      </c>
    </row>
    <row r="182" spans="1:7" ht="12.75">
      <c r="A182" s="579" t="s">
        <v>658</v>
      </c>
      <c r="B182" s="474"/>
      <c r="C182" s="474" t="s">
        <v>659</v>
      </c>
      <c r="D182" s="475">
        <f>D181+D171</f>
        <v>3182721.8</v>
      </c>
      <c r="E182" s="475">
        <f>E181+E171</f>
        <v>3128999.67</v>
      </c>
      <c r="F182" s="475">
        <f>F181+F171</f>
        <v>2901883.8</v>
      </c>
      <c r="G182" s="475">
        <f>G181+G171</f>
        <v>2869898</v>
      </c>
    </row>
    <row r="183" spans="1:7" ht="12.75">
      <c r="A183" s="579" t="s">
        <v>660</v>
      </c>
      <c r="B183" s="474"/>
      <c r="C183" s="474" t="s">
        <v>683</v>
      </c>
      <c r="D183" s="475">
        <f>D4+D5-D7+D38+D39+D40+D41+D43+D13-D16+D57+D58+D60+D61+D62</f>
        <v>2860633.1999999997</v>
      </c>
      <c r="E183" s="475">
        <f>E4+E5-E7+E38+E39+E40+E41+E43+E13-E16+E57+E58+E60+E61+E62</f>
        <v>2857033.46</v>
      </c>
      <c r="F183" s="475">
        <f>F4+F5-F7+F38+F39+F40+F41+F43+F13-F16+F57+F58+F60+F61+F62</f>
        <v>2724079.9</v>
      </c>
      <c r="G183" s="475">
        <f>G4+G5-G7+G38+G39+G40+G41+G43+G13-G16+G57+G58+G60+G61+G62</f>
        <v>2801285.8</v>
      </c>
    </row>
    <row r="184" spans="1:7" ht="12.75">
      <c r="A184" s="579" t="s">
        <v>661</v>
      </c>
      <c r="B184" s="474"/>
      <c r="C184" s="474" t="s">
        <v>662</v>
      </c>
      <c r="D184" s="475">
        <f>D183+D170</f>
        <v>3103072.46</v>
      </c>
      <c r="E184" s="475">
        <f>E183+E170</f>
        <v>3015575.46</v>
      </c>
      <c r="F184" s="475">
        <f>F183+F170</f>
        <v>2885447.9</v>
      </c>
      <c r="G184" s="475">
        <f>G183+G170</f>
        <v>2990936.8</v>
      </c>
    </row>
    <row r="185" spans="1:7" ht="12.75">
      <c r="A185" s="579"/>
      <c r="B185" s="474"/>
      <c r="C185" s="474" t="s">
        <v>663</v>
      </c>
      <c r="D185" s="475">
        <f aca="true" t="shared" si="0" ref="D185:G186">D181-D183</f>
        <v>257124.6000000001</v>
      </c>
      <c r="E185" s="475">
        <f t="shared" si="0"/>
        <v>234126.20999999996</v>
      </c>
      <c r="F185" s="475">
        <f t="shared" si="0"/>
        <v>127014.8999999999</v>
      </c>
      <c r="G185" s="475">
        <f t="shared" si="0"/>
        <v>33924.200000000186</v>
      </c>
    </row>
    <row r="186" spans="1:7" ht="12.75">
      <c r="A186" s="579"/>
      <c r="B186" s="474"/>
      <c r="C186" s="474" t="s">
        <v>664</v>
      </c>
      <c r="D186" s="475">
        <f t="shared" si="0"/>
        <v>79649.33999999985</v>
      </c>
      <c r="E186" s="475">
        <f t="shared" si="0"/>
        <v>113424.20999999996</v>
      </c>
      <c r="F186" s="475">
        <f t="shared" si="0"/>
        <v>16435.899999999907</v>
      </c>
      <c r="G186" s="475">
        <f t="shared" si="0"/>
        <v>-121038.79999999981</v>
      </c>
    </row>
  </sheetData>
  <sheetProtection/>
  <mergeCells count="2">
    <mergeCell ref="A3:C3"/>
    <mergeCell ref="A81:C81"/>
  </mergeCells>
  <printOptions/>
  <pageMargins left="0.25" right="0.25" top="0.75" bottom="0.75" header="0.3" footer="0.3"/>
  <pageSetup fitToHeight="8" horizontalDpi="600" verticalDpi="600" orientation="landscape" paperSize="9" r:id="rId1"/>
  <headerFooter alignWithMargins="0">
    <oddHeader>&amp;LFachgruppe für kantonale Finanzfragen (FkF)
Groupe d'études pour les finances cantonales
&amp;CRechnung 2011 - Budget 2013
Compte 2011 - Budget 2013&amp;RZürich, 12.9.2013</oddHeader>
    <oddFooter>&amp;LQuelle/Source: FkF Sept. 2013</oddFooter>
  </headerFooter>
  <rowBreaks count="2" manualBreakCount="2">
    <brk id="79" max="6" man="1"/>
    <brk id="148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1.57421875" style="0" bestFit="1" customWidth="1"/>
    <col min="2" max="2" width="37.7109375" style="0" customWidth="1"/>
    <col min="3" max="3" width="12.28125" style="0" bestFit="1" customWidth="1"/>
    <col min="4" max="4" width="8.00390625" style="0" customWidth="1"/>
    <col min="5" max="5" width="12.28125" style="0" bestFit="1" customWidth="1"/>
    <col min="6" max="6" width="6.421875" style="0" customWidth="1"/>
    <col min="7" max="7" width="12.28125" style="0" bestFit="1" customWidth="1"/>
    <col min="8" max="8" width="7.28125" style="0" customWidth="1"/>
    <col min="9" max="9" width="12.28125" style="0" bestFit="1" customWidth="1"/>
  </cols>
  <sheetData>
    <row r="1" spans="1:9" ht="12.75">
      <c r="A1" s="5" t="s">
        <v>20</v>
      </c>
      <c r="B1" s="6" t="s">
        <v>159</v>
      </c>
      <c r="C1" s="57" t="s">
        <v>22</v>
      </c>
      <c r="D1" s="7" t="s">
        <v>23</v>
      </c>
      <c r="E1" s="57" t="s">
        <v>24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 t="s">
        <v>27</v>
      </c>
      <c r="F3" s="134">
        <v>0</v>
      </c>
      <c r="G3" s="135" t="s">
        <v>27</v>
      </c>
      <c r="H3" s="134">
        <v>0</v>
      </c>
      <c r="I3" s="115" t="s">
        <v>27</v>
      </c>
    </row>
    <row r="4" spans="1:9" ht="12.75">
      <c r="A4" s="5" t="s">
        <v>28</v>
      </c>
      <c r="B4" s="9" t="s">
        <v>29</v>
      </c>
      <c r="C4" s="10">
        <v>411860.2</v>
      </c>
      <c r="D4" s="11"/>
      <c r="E4" s="10"/>
      <c r="F4" s="11"/>
      <c r="G4" s="10"/>
      <c r="H4" s="11"/>
      <c r="I4" s="12"/>
    </row>
    <row r="5" spans="1:9" ht="12.75">
      <c r="A5" s="13" t="s">
        <v>30</v>
      </c>
      <c r="B5" s="14" t="s">
        <v>31</v>
      </c>
      <c r="C5" s="15">
        <v>156981.2</v>
      </c>
      <c r="D5" s="16"/>
      <c r="E5" s="15"/>
      <c r="F5" s="16"/>
      <c r="G5" s="15"/>
      <c r="H5" s="16"/>
      <c r="I5" s="17"/>
    </row>
    <row r="6" spans="1:9" ht="12.75">
      <c r="A6" s="13" t="s">
        <v>32</v>
      </c>
      <c r="B6" s="14" t="s">
        <v>33</v>
      </c>
      <c r="C6" s="15">
        <v>28487.7</v>
      </c>
      <c r="D6" s="16"/>
      <c r="E6" s="15"/>
      <c r="F6" s="16"/>
      <c r="G6" s="15"/>
      <c r="H6" s="16"/>
      <c r="I6" s="17"/>
    </row>
    <row r="7" spans="1:9" ht="12.75">
      <c r="A7" s="13" t="s">
        <v>34</v>
      </c>
      <c r="B7" s="14" t="s">
        <v>35</v>
      </c>
      <c r="C7" s="15">
        <v>15916.5</v>
      </c>
      <c r="D7" s="16"/>
      <c r="E7" s="15"/>
      <c r="F7" s="16"/>
      <c r="G7" s="15"/>
      <c r="H7" s="16"/>
      <c r="I7" s="17"/>
    </row>
    <row r="8" spans="1:9" ht="12.75">
      <c r="A8" s="13" t="s">
        <v>36</v>
      </c>
      <c r="B8" s="14" t="s">
        <v>37</v>
      </c>
      <c r="C8" s="15">
        <v>20096.5</v>
      </c>
      <c r="D8" s="16"/>
      <c r="E8" s="15"/>
      <c r="F8" s="16"/>
      <c r="G8" s="15"/>
      <c r="H8" s="16"/>
      <c r="I8" s="17"/>
    </row>
    <row r="9" spans="1:9" ht="12.75">
      <c r="A9" s="13" t="s">
        <v>38</v>
      </c>
      <c r="B9" s="14" t="s">
        <v>39</v>
      </c>
      <c r="C9" s="15">
        <v>95315.4</v>
      </c>
      <c r="D9" s="16"/>
      <c r="E9" s="15"/>
      <c r="F9" s="16"/>
      <c r="G9" s="15"/>
      <c r="H9" s="16"/>
      <c r="I9" s="17"/>
    </row>
    <row r="10" spans="1:9" ht="12.75">
      <c r="A10" s="13" t="s">
        <v>40</v>
      </c>
      <c r="B10" s="14" t="s">
        <v>41</v>
      </c>
      <c r="C10" s="15">
        <v>1192820.74</v>
      </c>
      <c r="D10" s="16"/>
      <c r="E10" s="15"/>
      <c r="F10" s="16"/>
      <c r="G10" s="15"/>
      <c r="H10" s="16"/>
      <c r="I10" s="17"/>
    </row>
    <row r="11" spans="1:9" ht="12.75">
      <c r="A11" s="13" t="s">
        <v>42</v>
      </c>
      <c r="B11" s="14" t="s">
        <v>43</v>
      </c>
      <c r="C11" s="15">
        <v>255412</v>
      </c>
      <c r="D11" s="43"/>
      <c r="E11" s="15"/>
      <c r="F11" s="16"/>
      <c r="G11" s="15"/>
      <c r="H11" s="16"/>
      <c r="I11" s="17"/>
    </row>
    <row r="12" spans="1:9" ht="12.75">
      <c r="A12" s="13" t="s">
        <v>44</v>
      </c>
      <c r="B12" s="14" t="s">
        <v>45</v>
      </c>
      <c r="C12" s="15">
        <v>147185.2</v>
      </c>
      <c r="D12" s="43"/>
      <c r="E12" s="15"/>
      <c r="F12" s="16"/>
      <c r="G12" s="15"/>
      <c r="H12" s="16"/>
      <c r="I12" s="17"/>
    </row>
    <row r="13" spans="1:9" ht="12.75">
      <c r="A13" s="13" t="s">
        <v>46</v>
      </c>
      <c r="B13" s="14" t="s">
        <v>47</v>
      </c>
      <c r="C13" s="15">
        <v>37857.5</v>
      </c>
      <c r="D13" s="43"/>
      <c r="E13" s="15"/>
      <c r="F13" s="43"/>
      <c r="G13" s="15"/>
      <c r="H13" s="43"/>
      <c r="I13" s="17"/>
    </row>
    <row r="14" spans="1:9" ht="12.75">
      <c r="A14" s="13" t="s">
        <v>49</v>
      </c>
      <c r="B14" s="14" t="s">
        <v>50</v>
      </c>
      <c r="C14" s="15">
        <v>0</v>
      </c>
      <c r="D14" s="43"/>
      <c r="E14" s="15"/>
      <c r="F14" s="16"/>
      <c r="G14" s="15"/>
      <c r="H14" s="16"/>
      <c r="I14" s="17"/>
    </row>
    <row r="15" spans="1:9" ht="12.75">
      <c r="A15" s="13" t="s">
        <v>51</v>
      </c>
      <c r="B15" s="14" t="s">
        <v>52</v>
      </c>
      <c r="C15" s="15">
        <v>0</v>
      </c>
      <c r="D15" s="43"/>
      <c r="E15" s="15"/>
      <c r="F15" s="16"/>
      <c r="G15" s="15"/>
      <c r="H15" s="16"/>
      <c r="I15" s="17"/>
    </row>
    <row r="16" spans="1:9" ht="12.75">
      <c r="A16" s="13" t="s">
        <v>53</v>
      </c>
      <c r="B16" s="14" t="s">
        <v>54</v>
      </c>
      <c r="C16" s="15">
        <v>0</v>
      </c>
      <c r="D16" s="43"/>
      <c r="E16" s="15"/>
      <c r="F16" s="43"/>
      <c r="G16" s="15"/>
      <c r="H16" s="43"/>
      <c r="I16" s="17"/>
    </row>
    <row r="17" spans="1:9" ht="12.75">
      <c r="A17" s="13" t="s">
        <v>160</v>
      </c>
      <c r="B17" s="14" t="s">
        <v>161</v>
      </c>
      <c r="C17" s="15">
        <v>5963.8</v>
      </c>
      <c r="D17" s="16"/>
      <c r="E17" s="15"/>
      <c r="F17" s="16"/>
      <c r="G17" s="15"/>
      <c r="H17" s="16"/>
      <c r="I17" s="17"/>
    </row>
    <row r="18" spans="1:9" ht="12.75">
      <c r="A18" s="13">
        <v>389</v>
      </c>
      <c r="B18" s="14" t="s">
        <v>57</v>
      </c>
      <c r="C18" s="15">
        <v>0</v>
      </c>
      <c r="D18" s="43"/>
      <c r="E18" s="15"/>
      <c r="F18" s="43"/>
      <c r="G18" s="15"/>
      <c r="H18" s="43"/>
      <c r="I18" s="17"/>
    </row>
    <row r="19" spans="1:9" ht="12.75">
      <c r="A19" s="18" t="s">
        <v>58</v>
      </c>
      <c r="B19" s="19" t="s">
        <v>59</v>
      </c>
      <c r="C19" s="20">
        <v>0</v>
      </c>
      <c r="D19" s="43"/>
      <c r="E19" s="20"/>
      <c r="F19" s="43"/>
      <c r="G19" s="20"/>
      <c r="H19" s="43"/>
      <c r="I19" s="21"/>
    </row>
    <row r="20" spans="1:9" ht="12.75">
      <c r="A20" s="22" t="s">
        <v>60</v>
      </c>
      <c r="B20" s="23" t="s">
        <v>61</v>
      </c>
      <c r="C20" s="24">
        <v>1898954.3399999999</v>
      </c>
      <c r="D20" s="25"/>
      <c r="E20" s="24"/>
      <c r="F20" s="25"/>
      <c r="G20" s="24"/>
      <c r="H20" s="25"/>
      <c r="I20" s="26"/>
    </row>
    <row r="21" spans="1:9" ht="12.75">
      <c r="A21" s="27" t="s">
        <v>62</v>
      </c>
      <c r="B21" s="28" t="s">
        <v>63</v>
      </c>
      <c r="C21" s="10">
        <v>798528</v>
      </c>
      <c r="D21" s="16"/>
      <c r="E21" s="10"/>
      <c r="F21" s="16"/>
      <c r="G21" s="10"/>
      <c r="H21" s="16"/>
      <c r="I21" s="12"/>
    </row>
    <row r="22" spans="1:9" ht="12.75">
      <c r="A22" s="8" t="s">
        <v>64</v>
      </c>
      <c r="B22" s="29" t="s">
        <v>65</v>
      </c>
      <c r="C22" s="15">
        <v>86634.8</v>
      </c>
      <c r="D22" s="16"/>
      <c r="E22" s="15"/>
      <c r="F22" s="16"/>
      <c r="G22" s="15"/>
      <c r="H22" s="16"/>
      <c r="I22" s="17"/>
    </row>
    <row r="23" spans="1:9" ht="12.75">
      <c r="A23" s="8" t="s">
        <v>66</v>
      </c>
      <c r="B23" s="29" t="s">
        <v>67</v>
      </c>
      <c r="C23" s="15">
        <v>74178.9</v>
      </c>
      <c r="D23" s="16"/>
      <c r="E23" s="15"/>
      <c r="F23" s="16"/>
      <c r="G23" s="15"/>
      <c r="H23" s="16"/>
      <c r="I23" s="17"/>
    </row>
    <row r="24" spans="1:9" ht="12.75">
      <c r="A24" s="8" t="s">
        <v>68</v>
      </c>
      <c r="B24" s="29" t="s">
        <v>69</v>
      </c>
      <c r="C24" s="15">
        <v>179592.2</v>
      </c>
      <c r="D24" s="16"/>
      <c r="E24" s="15"/>
      <c r="F24" s="16"/>
      <c r="G24" s="15"/>
      <c r="H24" s="16"/>
      <c r="I24" s="17"/>
    </row>
    <row r="25" spans="1:9" ht="12.75">
      <c r="A25" s="8" t="s">
        <v>70</v>
      </c>
      <c r="B25" s="29" t="s">
        <v>71</v>
      </c>
      <c r="C25" s="15">
        <v>758898.34</v>
      </c>
      <c r="D25" s="16"/>
      <c r="E25" s="15"/>
      <c r="F25" s="16"/>
      <c r="G25" s="15"/>
      <c r="H25" s="16"/>
      <c r="I25" s="17"/>
    </row>
    <row r="26" spans="1:9" ht="12.75">
      <c r="A26" s="59" t="s">
        <v>72</v>
      </c>
      <c r="B26" s="29" t="s">
        <v>73</v>
      </c>
      <c r="C26" s="15">
        <v>20395.04</v>
      </c>
      <c r="D26" s="16"/>
      <c r="E26" s="15"/>
      <c r="F26" s="16"/>
      <c r="G26" s="15"/>
      <c r="H26" s="16"/>
      <c r="I26" s="17"/>
    </row>
    <row r="27" spans="1:9" ht="12.75">
      <c r="A27" s="195">
        <v>489</v>
      </c>
      <c r="B27" s="29" t="s">
        <v>74</v>
      </c>
      <c r="C27" s="15">
        <v>0</v>
      </c>
      <c r="D27" s="16"/>
      <c r="E27" s="15"/>
      <c r="F27" s="16"/>
      <c r="G27" s="15"/>
      <c r="H27" s="16"/>
      <c r="I27" s="17"/>
    </row>
    <row r="28" spans="1:9" ht="12.75">
      <c r="A28" s="30" t="s">
        <v>75</v>
      </c>
      <c r="B28" s="31" t="s">
        <v>76</v>
      </c>
      <c r="C28" s="20">
        <v>0</v>
      </c>
      <c r="D28" s="16"/>
      <c r="E28" s="20"/>
      <c r="F28" s="16"/>
      <c r="G28" s="20"/>
      <c r="H28" s="16"/>
      <c r="I28" s="21"/>
    </row>
    <row r="29" spans="1:9" ht="12.75">
      <c r="A29" s="51" t="s">
        <v>77</v>
      </c>
      <c r="B29" s="52" t="s">
        <v>78</v>
      </c>
      <c r="C29" s="24">
        <v>1918227.2800000003</v>
      </c>
      <c r="D29" s="53"/>
      <c r="E29" s="24"/>
      <c r="F29" s="53"/>
      <c r="G29" s="24"/>
      <c r="H29" s="54"/>
      <c r="I29" s="26"/>
    </row>
    <row r="30" spans="1:9" ht="12.75">
      <c r="A30" s="50" t="s">
        <v>79</v>
      </c>
      <c r="B30" s="32" t="s">
        <v>80</v>
      </c>
      <c r="C30" s="33">
        <v>19272.94000000041</v>
      </c>
      <c r="D30" s="136"/>
      <c r="E30" s="33"/>
      <c r="F30" s="136"/>
      <c r="G30" s="34"/>
      <c r="H30" s="137"/>
      <c r="I30" s="35"/>
    </row>
    <row r="31" spans="1:9" ht="12.75">
      <c r="A31" s="140">
        <v>0</v>
      </c>
      <c r="B31" s="28" t="s">
        <v>81</v>
      </c>
      <c r="C31" s="138">
        <v>0</v>
      </c>
      <c r="D31" s="143"/>
      <c r="E31" s="138"/>
      <c r="F31" s="143"/>
      <c r="G31" s="138"/>
      <c r="H31" s="138"/>
      <c r="I31" s="139"/>
    </row>
    <row r="32" spans="1:9" ht="12.75">
      <c r="A32" s="59" t="s">
        <v>82</v>
      </c>
      <c r="B32" s="29" t="s">
        <v>83</v>
      </c>
      <c r="C32" s="15">
        <v>170294.17</v>
      </c>
      <c r="D32" s="16"/>
      <c r="E32" s="15"/>
      <c r="F32" s="16"/>
      <c r="G32" s="15"/>
      <c r="H32" s="16"/>
      <c r="I32" s="17"/>
    </row>
    <row r="33" spans="1:9" ht="12.75">
      <c r="A33" s="59" t="s">
        <v>84</v>
      </c>
      <c r="B33" s="29" t="s">
        <v>85</v>
      </c>
      <c r="C33" s="15">
        <v>8644.54</v>
      </c>
      <c r="D33" s="16"/>
      <c r="E33" s="15"/>
      <c r="F33" s="16"/>
      <c r="G33" s="15"/>
      <c r="H33" s="16"/>
      <c r="I33" s="17"/>
    </row>
    <row r="34" spans="1:9" ht="12.75">
      <c r="A34" s="8" t="s">
        <v>86</v>
      </c>
      <c r="B34" s="29" t="s">
        <v>87</v>
      </c>
      <c r="C34" s="15">
        <v>16265.3</v>
      </c>
      <c r="D34" s="16"/>
      <c r="E34" s="15"/>
      <c r="F34" s="16"/>
      <c r="G34" s="15"/>
      <c r="H34" s="16"/>
      <c r="I34" s="17"/>
    </row>
    <row r="35" spans="1:9" ht="12.75">
      <c r="A35" s="51" t="s">
        <v>88</v>
      </c>
      <c r="B35" s="52" t="s">
        <v>89</v>
      </c>
      <c r="C35" s="24">
        <v>195204.01</v>
      </c>
      <c r="D35" s="54"/>
      <c r="E35" s="24"/>
      <c r="F35" s="54"/>
      <c r="G35" s="24"/>
      <c r="H35" s="54"/>
      <c r="I35" s="26"/>
    </row>
    <row r="36" spans="1:9" ht="12.75">
      <c r="A36" s="8" t="s">
        <v>90</v>
      </c>
      <c r="B36" s="29" t="s">
        <v>91</v>
      </c>
      <c r="C36" s="15">
        <v>0</v>
      </c>
      <c r="D36" s="16"/>
      <c r="E36" s="15"/>
      <c r="F36" s="16"/>
      <c r="G36" s="15"/>
      <c r="H36" s="16"/>
      <c r="I36" s="17"/>
    </row>
    <row r="37" spans="1:9" ht="12.75">
      <c r="A37" s="8" t="s">
        <v>92</v>
      </c>
      <c r="B37" s="29" t="s">
        <v>93</v>
      </c>
      <c r="C37" s="15">
        <v>61634.7</v>
      </c>
      <c r="D37" s="16"/>
      <c r="E37" s="15"/>
      <c r="F37" s="16"/>
      <c r="G37" s="15"/>
      <c r="H37" s="16"/>
      <c r="I37" s="17"/>
    </row>
    <row r="38" spans="1:9" ht="12.75">
      <c r="A38" s="51" t="s">
        <v>94</v>
      </c>
      <c r="B38" s="52" t="s">
        <v>95</v>
      </c>
      <c r="C38" s="24">
        <v>61634.7</v>
      </c>
      <c r="D38" s="54"/>
      <c r="E38" s="24"/>
      <c r="F38" s="54"/>
      <c r="G38" s="24"/>
      <c r="H38" s="54"/>
      <c r="I38" s="26"/>
    </row>
    <row r="39" spans="1:9" ht="12.75">
      <c r="A39" s="36" t="s">
        <v>96</v>
      </c>
      <c r="B39" s="37" t="s">
        <v>3</v>
      </c>
      <c r="C39" s="38">
        <v>133569.31</v>
      </c>
      <c r="D39" s="39"/>
      <c r="E39" s="38"/>
      <c r="F39" s="39"/>
      <c r="G39" s="38"/>
      <c r="H39" s="39"/>
      <c r="I39" s="40"/>
    </row>
    <row r="40" spans="1:9" ht="12.75">
      <c r="A40" s="131" t="s">
        <v>0</v>
      </c>
      <c r="B40" s="29" t="s">
        <v>97</v>
      </c>
      <c r="C40" s="15">
        <v>114588.3400000004</v>
      </c>
      <c r="D40" s="16"/>
      <c r="E40" s="15"/>
      <c r="F40" s="16"/>
      <c r="G40" s="15"/>
      <c r="H40" s="16"/>
      <c r="I40" s="17"/>
    </row>
    <row r="41" spans="1:9" ht="12.75">
      <c r="A41" s="131" t="s">
        <v>0</v>
      </c>
      <c r="B41" s="29" t="s">
        <v>98</v>
      </c>
      <c r="C41" s="15">
        <v>-18980.969999999594</v>
      </c>
      <c r="D41" s="16"/>
      <c r="E41" s="15"/>
      <c r="F41" s="16"/>
      <c r="G41" s="15"/>
      <c r="H41" s="16"/>
      <c r="I41" s="17"/>
    </row>
    <row r="42" spans="1:9" ht="12.75">
      <c r="A42" s="141" t="s">
        <v>0</v>
      </c>
      <c r="B42" s="31" t="s">
        <v>99</v>
      </c>
      <c r="C42" s="20">
        <v>1972782.65</v>
      </c>
      <c r="D42" s="129"/>
      <c r="E42" s="20"/>
      <c r="F42" s="129"/>
      <c r="G42" s="20"/>
      <c r="H42" s="129"/>
      <c r="I42" s="21"/>
    </row>
    <row r="43" spans="1:9" ht="12.75">
      <c r="A43" s="141">
        <v>0</v>
      </c>
      <c r="B43" s="31" t="s">
        <v>5</v>
      </c>
      <c r="C43" s="66">
        <v>0.8578942273490849</v>
      </c>
      <c r="D43" s="142"/>
      <c r="E43" s="41"/>
      <c r="F43" s="142"/>
      <c r="G43" s="41"/>
      <c r="H43" s="142"/>
      <c r="I43" s="4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86"/>
  <sheetViews>
    <sheetView zoomScale="115" zoomScaleNormal="115" zoomScalePageLayoutView="0" workbookViewId="0" topLeftCell="A1">
      <selection activeCell="A1" sqref="A1:G186"/>
    </sheetView>
  </sheetViews>
  <sheetFormatPr defaultColWidth="11.421875" defaultRowHeight="12.75"/>
  <cols>
    <col min="1" max="1" width="16.7109375" style="252" customWidth="1"/>
    <col min="2" max="2" width="3.7109375" style="252" customWidth="1"/>
    <col min="3" max="3" width="39.7109375" style="252" customWidth="1"/>
    <col min="4" max="4" width="12.7109375" style="252" customWidth="1"/>
    <col min="5" max="5" width="11.421875" style="252" customWidth="1"/>
    <col min="6" max="6" width="12.7109375" style="252" customWidth="1"/>
    <col min="7" max="16384" width="11.421875" style="252" customWidth="1"/>
  </cols>
  <sheetData>
    <row r="1" spans="1:55" s="243" customFormat="1" ht="18" customHeight="1">
      <c r="A1" s="476" t="s">
        <v>220</v>
      </c>
      <c r="B1" s="477" t="s">
        <v>452</v>
      </c>
      <c r="C1" s="477" t="s">
        <v>159</v>
      </c>
      <c r="D1" s="241" t="s">
        <v>22</v>
      </c>
      <c r="E1" s="240" t="s">
        <v>105</v>
      </c>
      <c r="F1" s="241" t="s">
        <v>22</v>
      </c>
      <c r="G1" s="240" t="s">
        <v>105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7" s="249" customFormat="1" ht="15" customHeight="1">
      <c r="A2" s="244"/>
      <c r="B2" s="245"/>
      <c r="C2" s="246" t="s">
        <v>222</v>
      </c>
      <c r="D2" s="248">
        <v>2011</v>
      </c>
      <c r="E2" s="247">
        <v>2012</v>
      </c>
      <c r="F2" s="248">
        <v>2012</v>
      </c>
      <c r="G2" s="247">
        <v>2013</v>
      </c>
    </row>
    <row r="3" spans="1:7" ht="15" customHeight="1">
      <c r="A3" s="609" t="s">
        <v>223</v>
      </c>
      <c r="B3" s="610"/>
      <c r="C3" s="610"/>
      <c r="D3" s="250"/>
      <c r="F3" s="250"/>
      <c r="G3" s="253" t="s">
        <v>103</v>
      </c>
    </row>
    <row r="4" spans="1:7" s="260" customFormat="1" ht="12.75" customHeight="1">
      <c r="A4" s="479">
        <v>30</v>
      </c>
      <c r="B4" s="480"/>
      <c r="C4" s="256" t="s">
        <v>29</v>
      </c>
      <c r="D4" s="257"/>
      <c r="E4" s="257">
        <v>423924.6</v>
      </c>
      <c r="F4" s="258">
        <v>417071</v>
      </c>
      <c r="G4" s="259">
        <v>427423.4</v>
      </c>
    </row>
    <row r="5" spans="1:7" s="260" customFormat="1" ht="12.75" customHeight="1">
      <c r="A5" s="261">
        <v>31</v>
      </c>
      <c r="B5" s="262"/>
      <c r="C5" s="263" t="s">
        <v>224</v>
      </c>
      <c r="D5" s="264"/>
      <c r="E5" s="264">
        <v>174985.479</v>
      </c>
      <c r="F5" s="266">
        <v>174701.4</v>
      </c>
      <c r="G5" s="267">
        <v>180056.1</v>
      </c>
    </row>
    <row r="6" spans="1:7" s="260" customFormat="1" ht="12.75" customHeight="1">
      <c r="A6" s="268" t="s">
        <v>32</v>
      </c>
      <c r="B6" s="269"/>
      <c r="C6" s="270" t="s">
        <v>225</v>
      </c>
      <c r="D6" s="271"/>
      <c r="E6" s="271">
        <v>25136.5</v>
      </c>
      <c r="F6" s="272">
        <v>24558.2</v>
      </c>
      <c r="G6" s="273">
        <v>25336</v>
      </c>
    </row>
    <row r="7" spans="1:7" s="260" customFormat="1" ht="12.75" customHeight="1">
      <c r="A7" s="268" t="s">
        <v>226</v>
      </c>
      <c r="B7" s="269"/>
      <c r="C7" s="270" t="s">
        <v>227</v>
      </c>
      <c r="D7" s="271"/>
      <c r="E7" s="271">
        <v>0</v>
      </c>
      <c r="F7" s="272">
        <v>365.9</v>
      </c>
      <c r="G7" s="273">
        <v>0</v>
      </c>
    </row>
    <row r="8" spans="1:7" s="260" customFormat="1" ht="12.75" customHeight="1">
      <c r="A8" s="274">
        <v>330</v>
      </c>
      <c r="B8" s="262"/>
      <c r="C8" s="263" t="s">
        <v>228</v>
      </c>
      <c r="D8" s="275"/>
      <c r="E8" s="275">
        <v>52004.9</v>
      </c>
      <c r="F8" s="266">
        <v>48410.8</v>
      </c>
      <c r="G8" s="276">
        <v>50711.6</v>
      </c>
    </row>
    <row r="9" spans="1:7" s="260" customFormat="1" ht="12.75" customHeight="1">
      <c r="A9" s="274">
        <v>332</v>
      </c>
      <c r="B9" s="262"/>
      <c r="C9" s="263" t="s">
        <v>229</v>
      </c>
      <c r="D9" s="275"/>
      <c r="E9" s="275">
        <v>0</v>
      </c>
      <c r="F9" s="266">
        <v>0</v>
      </c>
      <c r="G9" s="276">
        <v>0</v>
      </c>
    </row>
    <row r="10" spans="1:7" s="260" customFormat="1" ht="12.75" customHeight="1">
      <c r="A10" s="274">
        <v>339</v>
      </c>
      <c r="B10" s="262"/>
      <c r="C10" s="263" t="s">
        <v>230</v>
      </c>
      <c r="D10" s="275">
        <v>0</v>
      </c>
      <c r="E10" s="275">
        <v>0</v>
      </c>
      <c r="F10" s="266">
        <v>0</v>
      </c>
      <c r="G10" s="276">
        <v>0</v>
      </c>
    </row>
    <row r="11" spans="1:7" s="260" customFormat="1" ht="12.75" customHeight="1">
      <c r="A11" s="261">
        <v>350</v>
      </c>
      <c r="B11" s="262"/>
      <c r="C11" s="263" t="s">
        <v>231</v>
      </c>
      <c r="D11" s="275">
        <v>0</v>
      </c>
      <c r="E11" s="275">
        <v>29300.7</v>
      </c>
      <c r="F11" s="275">
        <v>4919.994</v>
      </c>
      <c r="G11" s="277">
        <v>806.1</v>
      </c>
    </row>
    <row r="12" spans="1:7" s="285" customFormat="1" ht="12.75">
      <c r="A12" s="278">
        <v>351</v>
      </c>
      <c r="B12" s="279"/>
      <c r="C12" s="280" t="s">
        <v>232</v>
      </c>
      <c r="D12" s="346"/>
      <c r="E12" s="282">
        <v>0</v>
      </c>
      <c r="F12" s="283">
        <v>0</v>
      </c>
      <c r="G12" s="482">
        <v>0</v>
      </c>
    </row>
    <row r="13" spans="1:7" s="260" customFormat="1" ht="12.75" customHeight="1">
      <c r="A13" s="261">
        <v>36</v>
      </c>
      <c r="B13" s="262"/>
      <c r="C13" s="263" t="s">
        <v>233</v>
      </c>
      <c r="D13" s="275"/>
      <c r="E13" s="264">
        <v>1173429.3</v>
      </c>
      <c r="F13" s="286">
        <v>1167535.2</v>
      </c>
      <c r="G13" s="276">
        <v>1220548.3</v>
      </c>
    </row>
    <row r="14" spans="1:7" s="260" customFormat="1" ht="12.75" customHeight="1">
      <c r="A14" s="287" t="s">
        <v>234</v>
      </c>
      <c r="B14" s="262"/>
      <c r="C14" s="288" t="s">
        <v>235</v>
      </c>
      <c r="D14" s="275"/>
      <c r="E14" s="323">
        <v>437969.8</v>
      </c>
      <c r="F14" s="286">
        <v>431168.5</v>
      </c>
      <c r="G14" s="276">
        <v>440508.4</v>
      </c>
    </row>
    <row r="15" spans="1:7" s="260" customFormat="1" ht="12.75" customHeight="1">
      <c r="A15" s="287" t="s">
        <v>236</v>
      </c>
      <c r="B15" s="262"/>
      <c r="C15" s="288" t="s">
        <v>237</v>
      </c>
      <c r="D15" s="275"/>
      <c r="E15" s="323">
        <v>40446.2</v>
      </c>
      <c r="F15" s="286">
        <v>46193.2</v>
      </c>
      <c r="G15" s="276">
        <v>55977.53</v>
      </c>
    </row>
    <row r="16" spans="1:7" s="297" customFormat="1" ht="26.25" customHeight="1">
      <c r="A16" s="287" t="s">
        <v>238</v>
      </c>
      <c r="B16" s="483"/>
      <c r="C16" s="288" t="s">
        <v>239</v>
      </c>
      <c r="D16" s="293"/>
      <c r="E16" s="294">
        <v>11237.9</v>
      </c>
      <c r="F16" s="295">
        <v>13208.1</v>
      </c>
      <c r="G16" s="296">
        <v>16454.3</v>
      </c>
    </row>
    <row r="17" spans="1:7" s="299" customFormat="1" ht="12.75">
      <c r="A17" s="261">
        <v>37</v>
      </c>
      <c r="B17" s="262"/>
      <c r="C17" s="263" t="s">
        <v>240</v>
      </c>
      <c r="D17" s="316"/>
      <c r="E17" s="316">
        <v>77400</v>
      </c>
      <c r="F17" s="286">
        <v>84628.8</v>
      </c>
      <c r="G17" s="298">
        <v>81960</v>
      </c>
    </row>
    <row r="18" spans="1:7" s="299" customFormat="1" ht="12.75">
      <c r="A18" s="274" t="s">
        <v>241</v>
      </c>
      <c r="B18" s="262"/>
      <c r="C18" s="263" t="s">
        <v>242</v>
      </c>
      <c r="D18" s="316"/>
      <c r="E18" s="323">
        <v>0</v>
      </c>
      <c r="F18" s="286">
        <v>0</v>
      </c>
      <c r="G18" s="298">
        <v>0</v>
      </c>
    </row>
    <row r="19" spans="1:7" s="299" customFormat="1" ht="12.75">
      <c r="A19" s="274" t="s">
        <v>243</v>
      </c>
      <c r="B19" s="262"/>
      <c r="C19" s="263" t="s">
        <v>244</v>
      </c>
      <c r="D19" s="316"/>
      <c r="E19" s="323">
        <v>0</v>
      </c>
      <c r="F19" s="286">
        <v>0</v>
      </c>
      <c r="G19" s="298">
        <v>0</v>
      </c>
    </row>
    <row r="20" spans="1:7" s="260" customFormat="1" ht="12.75" customHeight="1">
      <c r="A20" s="301">
        <v>39</v>
      </c>
      <c r="B20" s="302"/>
      <c r="C20" s="303" t="s">
        <v>245</v>
      </c>
      <c r="D20" s="306"/>
      <c r="E20" s="304">
        <v>0</v>
      </c>
      <c r="F20" s="307">
        <v>0</v>
      </c>
      <c r="G20" s="308">
        <v>0</v>
      </c>
    </row>
    <row r="21" spans="1:7" ht="12.75" customHeight="1">
      <c r="A21" s="309"/>
      <c r="B21" s="309"/>
      <c r="C21" s="310" t="s">
        <v>246</v>
      </c>
      <c r="D21" s="311">
        <f>D4+D5+SUM(D8:D13)+D17</f>
        <v>0</v>
      </c>
      <c r="E21" s="311">
        <f>E4+E5+SUM(E8:E13)+E17</f>
        <v>1931044.979</v>
      </c>
      <c r="F21" s="311">
        <f>F4+F5+SUM(F8:F13)+F17</f>
        <v>1897267.194</v>
      </c>
      <c r="G21" s="311">
        <f>G4+G5+SUM(G8:G13)+G17</f>
        <v>1961505.5</v>
      </c>
    </row>
    <row r="22" spans="1:7" s="260" customFormat="1" ht="12.75" customHeight="1">
      <c r="A22" s="274" t="s">
        <v>247</v>
      </c>
      <c r="B22" s="262"/>
      <c r="C22" s="263" t="s">
        <v>248</v>
      </c>
      <c r="D22" s="275"/>
      <c r="E22" s="275">
        <v>792070</v>
      </c>
      <c r="F22" s="266">
        <v>731108.4</v>
      </c>
      <c r="G22" s="276">
        <v>720175</v>
      </c>
    </row>
    <row r="23" spans="1:7" s="260" customFormat="1" ht="12.75" customHeight="1">
      <c r="A23" s="274" t="s">
        <v>249</v>
      </c>
      <c r="B23" s="262"/>
      <c r="C23" s="263" t="s">
        <v>250</v>
      </c>
      <c r="D23" s="275"/>
      <c r="E23" s="275">
        <v>128900</v>
      </c>
      <c r="F23" s="266">
        <v>134695.8</v>
      </c>
      <c r="G23" s="276">
        <v>128100</v>
      </c>
    </row>
    <row r="24" spans="1:7" s="313" customFormat="1" ht="12.75" customHeight="1">
      <c r="A24" s="261">
        <v>41</v>
      </c>
      <c r="B24" s="262"/>
      <c r="C24" s="263" t="s">
        <v>251</v>
      </c>
      <c r="D24" s="275"/>
      <c r="E24" s="275">
        <v>9026</v>
      </c>
      <c r="F24" s="266">
        <v>30600.6</v>
      </c>
      <c r="G24" s="276">
        <v>30758.9</v>
      </c>
    </row>
    <row r="25" spans="1:7" s="260" customFormat="1" ht="12.75" customHeight="1">
      <c r="A25" s="314">
        <v>42</v>
      </c>
      <c r="B25" s="315"/>
      <c r="C25" s="263" t="s">
        <v>252</v>
      </c>
      <c r="D25" s="275"/>
      <c r="E25" s="275">
        <v>154248.65</v>
      </c>
      <c r="F25" s="266">
        <v>165052.49</v>
      </c>
      <c r="G25" s="276">
        <v>156169</v>
      </c>
    </row>
    <row r="26" spans="1:7" s="318" customFormat="1" ht="12.75" customHeight="1">
      <c r="A26" s="278">
        <v>430</v>
      </c>
      <c r="B26" s="262"/>
      <c r="C26" s="263" t="s">
        <v>253</v>
      </c>
      <c r="D26" s="316"/>
      <c r="E26" s="316">
        <v>3180.1</v>
      </c>
      <c r="F26" s="317">
        <v>3945.97</v>
      </c>
      <c r="G26" s="298">
        <v>4370.7</v>
      </c>
    </row>
    <row r="27" spans="1:7" s="318" customFormat="1" ht="12.75" customHeight="1">
      <c r="A27" s="278">
        <v>431</v>
      </c>
      <c r="B27" s="262"/>
      <c r="C27" s="263" t="s">
        <v>254</v>
      </c>
      <c r="D27" s="316"/>
      <c r="E27" s="316">
        <v>0</v>
      </c>
      <c r="F27" s="317">
        <v>0</v>
      </c>
      <c r="G27" s="298">
        <v>0</v>
      </c>
    </row>
    <row r="28" spans="1:7" s="318" customFormat="1" ht="12.75" customHeight="1">
      <c r="A28" s="278">
        <v>432</v>
      </c>
      <c r="B28" s="262"/>
      <c r="C28" s="263" t="s">
        <v>255</v>
      </c>
      <c r="D28" s="316"/>
      <c r="E28" s="316">
        <v>0</v>
      </c>
      <c r="F28" s="317">
        <v>0</v>
      </c>
      <c r="G28" s="298">
        <v>0</v>
      </c>
    </row>
    <row r="29" spans="1:7" s="318" customFormat="1" ht="12.75" customHeight="1">
      <c r="A29" s="278">
        <v>439</v>
      </c>
      <c r="B29" s="262"/>
      <c r="C29" s="263" t="s">
        <v>256</v>
      </c>
      <c r="D29" s="316"/>
      <c r="E29" s="316">
        <v>0</v>
      </c>
      <c r="F29" s="317">
        <v>0</v>
      </c>
      <c r="G29" s="298">
        <v>0</v>
      </c>
    </row>
    <row r="30" spans="1:7" s="260" customFormat="1" ht="25.5">
      <c r="A30" s="278">
        <v>450</v>
      </c>
      <c r="B30" s="279"/>
      <c r="C30" s="280" t="s">
        <v>257</v>
      </c>
      <c r="D30" s="264">
        <v>0</v>
      </c>
      <c r="E30" s="264">
        <v>9573.5</v>
      </c>
      <c r="F30" s="264">
        <v>2164.3</v>
      </c>
      <c r="G30" s="319">
        <v>7345</v>
      </c>
    </row>
    <row r="31" spans="1:7" s="285" customFormat="1" ht="25.5">
      <c r="A31" s="278">
        <v>451</v>
      </c>
      <c r="B31" s="279"/>
      <c r="C31" s="280" t="s">
        <v>258</v>
      </c>
      <c r="D31" s="275"/>
      <c r="E31" s="281">
        <v>0</v>
      </c>
      <c r="F31" s="320">
        <v>0</v>
      </c>
      <c r="G31" s="276">
        <v>0</v>
      </c>
    </row>
    <row r="32" spans="1:7" s="260" customFormat="1" ht="12.75" customHeight="1">
      <c r="A32" s="261">
        <v>46</v>
      </c>
      <c r="B32" s="262"/>
      <c r="C32" s="263" t="s">
        <v>259</v>
      </c>
      <c r="D32" s="275"/>
      <c r="E32" s="275">
        <v>604072.4</v>
      </c>
      <c r="F32" s="266">
        <v>609371.8</v>
      </c>
      <c r="G32" s="276">
        <v>657706.4</v>
      </c>
    </row>
    <row r="33" spans="1:7" s="285" customFormat="1" ht="12.75" customHeight="1">
      <c r="A33" s="322" t="s">
        <v>260</v>
      </c>
      <c r="B33" s="269"/>
      <c r="C33" s="270" t="s">
        <v>261</v>
      </c>
      <c r="D33" s="271"/>
      <c r="E33" s="275">
        <v>0</v>
      </c>
      <c r="F33" s="266">
        <v>0</v>
      </c>
      <c r="G33" s="273">
        <v>0</v>
      </c>
    </row>
    <row r="34" spans="1:7" s="260" customFormat="1" ht="15" customHeight="1">
      <c r="A34" s="261">
        <v>47</v>
      </c>
      <c r="B34" s="262"/>
      <c r="C34" s="263" t="s">
        <v>240</v>
      </c>
      <c r="D34" s="275"/>
      <c r="E34" s="275">
        <v>77400</v>
      </c>
      <c r="F34" s="266">
        <v>84628.8</v>
      </c>
      <c r="G34" s="276">
        <v>81960</v>
      </c>
    </row>
    <row r="35" spans="1:7" s="260" customFormat="1" ht="15" customHeight="1">
      <c r="A35" s="301">
        <v>49</v>
      </c>
      <c r="B35" s="302"/>
      <c r="C35" s="303" t="s">
        <v>262</v>
      </c>
      <c r="D35" s="306"/>
      <c r="E35" s="304">
        <v>0</v>
      </c>
      <c r="F35" s="307">
        <v>0</v>
      </c>
      <c r="G35" s="308">
        <v>0</v>
      </c>
    </row>
    <row r="36" spans="1:7" ht="13.5" customHeight="1">
      <c r="A36" s="309"/>
      <c r="B36" s="335"/>
      <c r="C36" s="310" t="s">
        <v>263</v>
      </c>
      <c r="D36" s="311">
        <f>D22+D23+D24+D25+D26+D27+D28+D29+D30+D31+D32+D34</f>
        <v>0</v>
      </c>
      <c r="E36" s="311">
        <f>E22+E23+E24+E25+E26+E27+E28+E29+E30+E31+E32+E34</f>
        <v>1778470.65</v>
      </c>
      <c r="F36" s="311">
        <f>F22+F23+F24+F25+F26+F27+F28+F29+F30+F31+F32+F34</f>
        <v>1761568.1600000001</v>
      </c>
      <c r="G36" s="311">
        <f>G22+G23+G24+G25+G26+G27+G28+G29+G30+G31+G32+G34</f>
        <v>1786585</v>
      </c>
    </row>
    <row r="37" spans="1:7" s="487" customFormat="1" ht="15" customHeight="1">
      <c r="A37" s="309"/>
      <c r="B37" s="335"/>
      <c r="C37" s="310" t="s">
        <v>264</v>
      </c>
      <c r="D37" s="311">
        <f>D36-D21</f>
        <v>0</v>
      </c>
      <c r="E37" s="311">
        <f>E36-E21</f>
        <v>-152574.32900000014</v>
      </c>
      <c r="F37" s="311">
        <f>F36-F21</f>
        <v>-135699.03399999975</v>
      </c>
      <c r="G37" s="311">
        <f>G36-G21</f>
        <v>-174920.5</v>
      </c>
    </row>
    <row r="38" spans="1:7" s="285" customFormat="1" ht="15" customHeight="1">
      <c r="A38" s="274">
        <v>340</v>
      </c>
      <c r="B38" s="262"/>
      <c r="C38" s="263" t="s">
        <v>265</v>
      </c>
      <c r="D38" s="316"/>
      <c r="E38" s="264">
        <v>12780</v>
      </c>
      <c r="F38" s="286">
        <v>9354.3</v>
      </c>
      <c r="G38" s="276">
        <v>13652</v>
      </c>
    </row>
    <row r="39" spans="1:7" s="285" customFormat="1" ht="15" customHeight="1">
      <c r="A39" s="274">
        <v>341</v>
      </c>
      <c r="B39" s="262"/>
      <c r="C39" s="263" t="s">
        <v>266</v>
      </c>
      <c r="D39" s="316"/>
      <c r="E39" s="275">
        <v>0</v>
      </c>
      <c r="F39" s="266">
        <v>5.99</v>
      </c>
      <c r="G39" s="276">
        <v>0</v>
      </c>
    </row>
    <row r="40" spans="1:7" s="285" customFormat="1" ht="15" customHeight="1">
      <c r="A40" s="274">
        <v>342</v>
      </c>
      <c r="B40" s="262"/>
      <c r="C40" s="263" t="s">
        <v>267</v>
      </c>
      <c r="D40" s="316"/>
      <c r="E40" s="275">
        <v>160</v>
      </c>
      <c r="F40" s="266">
        <v>1177.97</v>
      </c>
      <c r="G40" s="276">
        <v>100</v>
      </c>
    </row>
    <row r="41" spans="1:7" s="285" customFormat="1" ht="15" customHeight="1">
      <c r="A41" s="274">
        <v>343</v>
      </c>
      <c r="B41" s="262"/>
      <c r="C41" s="263" t="s">
        <v>268</v>
      </c>
      <c r="D41" s="316"/>
      <c r="E41" s="275">
        <v>1706.5</v>
      </c>
      <c r="F41" s="266">
        <v>1323.8</v>
      </c>
      <c r="G41" s="276">
        <v>1788.4</v>
      </c>
    </row>
    <row r="42" spans="1:7" s="285" customFormat="1" ht="15" customHeight="1">
      <c r="A42" s="274">
        <v>344</v>
      </c>
      <c r="B42" s="262"/>
      <c r="C42" s="263" t="s">
        <v>269</v>
      </c>
      <c r="D42" s="316"/>
      <c r="E42" s="275">
        <v>0</v>
      </c>
      <c r="F42" s="266">
        <v>47498.1</v>
      </c>
      <c r="G42" s="276">
        <v>0</v>
      </c>
    </row>
    <row r="43" spans="1:7" s="285" customFormat="1" ht="15" customHeight="1">
      <c r="A43" s="274">
        <v>349</v>
      </c>
      <c r="B43" s="262"/>
      <c r="C43" s="263" t="s">
        <v>270</v>
      </c>
      <c r="D43" s="316"/>
      <c r="E43" s="275">
        <v>4800</v>
      </c>
      <c r="F43" s="266">
        <v>-37617.4</v>
      </c>
      <c r="G43" s="276">
        <v>4800</v>
      </c>
    </row>
    <row r="44" spans="1:7" s="260" customFormat="1" ht="15" customHeight="1">
      <c r="A44" s="261">
        <v>440</v>
      </c>
      <c r="B44" s="262"/>
      <c r="C44" s="263" t="s">
        <v>271</v>
      </c>
      <c r="D44" s="316"/>
      <c r="E44" s="264">
        <v>9664</v>
      </c>
      <c r="F44" s="286">
        <v>9615.4</v>
      </c>
      <c r="G44" s="276">
        <v>8166</v>
      </c>
    </row>
    <row r="45" spans="1:7" s="260" customFormat="1" ht="15" customHeight="1">
      <c r="A45" s="261">
        <v>441</v>
      </c>
      <c r="B45" s="262"/>
      <c r="C45" s="263" t="s">
        <v>272</v>
      </c>
      <c r="D45" s="316"/>
      <c r="E45" s="264">
        <v>4500</v>
      </c>
      <c r="F45" s="286">
        <v>3512.6</v>
      </c>
      <c r="G45" s="276">
        <v>1000</v>
      </c>
    </row>
    <row r="46" spans="1:7" s="260" customFormat="1" ht="15" customHeight="1">
      <c r="A46" s="261">
        <v>442</v>
      </c>
      <c r="B46" s="262"/>
      <c r="C46" s="263" t="s">
        <v>273</v>
      </c>
      <c r="D46" s="316"/>
      <c r="E46" s="264">
        <v>0</v>
      </c>
      <c r="F46" s="286">
        <v>0</v>
      </c>
      <c r="G46" s="276">
        <v>0</v>
      </c>
    </row>
    <row r="47" spans="1:7" s="260" customFormat="1" ht="15" customHeight="1">
      <c r="A47" s="261">
        <v>443</v>
      </c>
      <c r="B47" s="262"/>
      <c r="C47" s="263" t="s">
        <v>274</v>
      </c>
      <c r="D47" s="316"/>
      <c r="E47" s="264">
        <v>3650</v>
      </c>
      <c r="F47" s="286">
        <v>3258.2</v>
      </c>
      <c r="G47" s="276">
        <v>3969</v>
      </c>
    </row>
    <row r="48" spans="1:7" s="260" customFormat="1" ht="15" customHeight="1">
      <c r="A48" s="261">
        <v>444</v>
      </c>
      <c r="B48" s="262"/>
      <c r="C48" s="263" t="s">
        <v>269</v>
      </c>
      <c r="D48" s="316"/>
      <c r="E48" s="264">
        <v>0</v>
      </c>
      <c r="F48" s="286">
        <v>0</v>
      </c>
      <c r="G48" s="276">
        <v>0</v>
      </c>
    </row>
    <row r="49" spans="1:7" s="260" customFormat="1" ht="15" customHeight="1">
      <c r="A49" s="261">
        <v>445</v>
      </c>
      <c r="B49" s="262"/>
      <c r="C49" s="263" t="s">
        <v>275</v>
      </c>
      <c r="D49" s="316"/>
      <c r="E49" s="264">
        <v>13444</v>
      </c>
      <c r="F49" s="286">
        <v>3303.2</v>
      </c>
      <c r="G49" s="276">
        <v>3140</v>
      </c>
    </row>
    <row r="50" spans="1:7" s="260" customFormat="1" ht="15" customHeight="1">
      <c r="A50" s="261">
        <v>446</v>
      </c>
      <c r="B50" s="262"/>
      <c r="C50" s="263" t="s">
        <v>276</v>
      </c>
      <c r="D50" s="316"/>
      <c r="E50" s="264">
        <v>460.2</v>
      </c>
      <c r="F50" s="286">
        <v>232.6</v>
      </c>
      <c r="G50" s="276">
        <v>458.2</v>
      </c>
    </row>
    <row r="51" spans="1:7" s="260" customFormat="1" ht="15" customHeight="1">
      <c r="A51" s="261">
        <v>447</v>
      </c>
      <c r="B51" s="262"/>
      <c r="C51" s="263" t="s">
        <v>277</v>
      </c>
      <c r="D51" s="316"/>
      <c r="E51" s="264">
        <v>26008</v>
      </c>
      <c r="F51" s="286">
        <v>26128.6</v>
      </c>
      <c r="G51" s="276">
        <v>30208.5</v>
      </c>
    </row>
    <row r="52" spans="1:7" s="260" customFormat="1" ht="15" customHeight="1">
      <c r="A52" s="261">
        <v>448</v>
      </c>
      <c r="B52" s="262"/>
      <c r="C52" s="263" t="s">
        <v>278</v>
      </c>
      <c r="D52" s="316"/>
      <c r="E52" s="264">
        <v>0</v>
      </c>
      <c r="F52" s="286">
        <v>0</v>
      </c>
      <c r="G52" s="276">
        <v>0</v>
      </c>
    </row>
    <row r="53" spans="1:7" s="260" customFormat="1" ht="15" customHeight="1">
      <c r="A53" s="261">
        <v>449</v>
      </c>
      <c r="B53" s="262"/>
      <c r="C53" s="263" t="s">
        <v>279</v>
      </c>
      <c r="D53" s="316"/>
      <c r="E53" s="264">
        <v>0</v>
      </c>
      <c r="F53" s="286">
        <v>0</v>
      </c>
      <c r="G53" s="276">
        <v>0</v>
      </c>
    </row>
    <row r="54" spans="1:7" s="285" customFormat="1" ht="13.5" customHeight="1">
      <c r="A54" s="329" t="s">
        <v>280</v>
      </c>
      <c r="B54" s="330"/>
      <c r="C54" s="330" t="s">
        <v>281</v>
      </c>
      <c r="D54" s="497"/>
      <c r="E54" s="332">
        <v>0</v>
      </c>
      <c r="F54" s="333">
        <v>0</v>
      </c>
      <c r="G54" s="334">
        <v>0</v>
      </c>
    </row>
    <row r="55" spans="1:7" ht="15" customHeight="1">
      <c r="A55" s="335"/>
      <c r="B55" s="335"/>
      <c r="C55" s="310" t="s">
        <v>282</v>
      </c>
      <c r="D55" s="311">
        <f>SUM(D44:D53)-SUM(D38:D43)</f>
        <v>0</v>
      </c>
      <c r="E55" s="311">
        <f>SUM(E44:E53)-SUM(E38:E43)</f>
        <v>38279.7</v>
      </c>
      <c r="F55" s="311">
        <f>SUM(F44:F53)-SUM(F38:F43)</f>
        <v>24307.840000000004</v>
      </c>
      <c r="G55" s="311">
        <f>SUM(G44:G53)-SUM(G38:G43)</f>
        <v>26601.299999999996</v>
      </c>
    </row>
    <row r="56" spans="1:7" ht="14.25" customHeight="1">
      <c r="A56" s="335"/>
      <c r="B56" s="335"/>
      <c r="C56" s="310" t="s">
        <v>283</v>
      </c>
      <c r="D56" s="311">
        <f>D55+D37</f>
        <v>0</v>
      </c>
      <c r="E56" s="311">
        <f>E55+E37</f>
        <v>-114294.62900000015</v>
      </c>
      <c r="F56" s="311">
        <f>F55+F37</f>
        <v>-111391.19399999976</v>
      </c>
      <c r="G56" s="311">
        <f>G55+G37</f>
        <v>-148319.2</v>
      </c>
    </row>
    <row r="57" spans="1:7" s="260" customFormat="1" ht="15.75" customHeight="1">
      <c r="A57" s="336">
        <v>380</v>
      </c>
      <c r="B57" s="337"/>
      <c r="C57" s="338" t="s">
        <v>284</v>
      </c>
      <c r="D57" s="340"/>
      <c r="E57" s="339"/>
      <c r="F57" s="341"/>
      <c r="G57" s="342"/>
    </row>
    <row r="58" spans="1:7" s="260" customFormat="1" ht="15.75" customHeight="1">
      <c r="A58" s="336">
        <v>381</v>
      </c>
      <c r="B58" s="337"/>
      <c r="C58" s="338" t="s">
        <v>285</v>
      </c>
      <c r="D58" s="340"/>
      <c r="E58" s="339"/>
      <c r="F58" s="341"/>
      <c r="G58" s="342"/>
    </row>
    <row r="59" spans="1:7" s="285" customFormat="1" ht="25.5">
      <c r="A59" s="278">
        <v>383</v>
      </c>
      <c r="B59" s="279"/>
      <c r="C59" s="280" t="s">
        <v>286</v>
      </c>
      <c r="D59" s="344"/>
      <c r="E59" s="264">
        <v>0</v>
      </c>
      <c r="F59" s="345">
        <v>0</v>
      </c>
      <c r="G59" s="321">
        <v>0</v>
      </c>
    </row>
    <row r="60" spans="1:7" s="285" customFormat="1" ht="12.75">
      <c r="A60" s="278">
        <v>3840</v>
      </c>
      <c r="B60" s="279"/>
      <c r="C60" s="280" t="s">
        <v>287</v>
      </c>
      <c r="D60" s="346"/>
      <c r="E60" s="491">
        <v>0</v>
      </c>
      <c r="F60" s="508">
        <v>0</v>
      </c>
      <c r="G60" s="482">
        <v>0</v>
      </c>
    </row>
    <row r="61" spans="1:7" s="285" customFormat="1" ht="12.75">
      <c r="A61" s="278">
        <v>3841</v>
      </c>
      <c r="B61" s="279"/>
      <c r="C61" s="280" t="s">
        <v>288</v>
      </c>
      <c r="D61" s="346"/>
      <c r="E61" s="491">
        <v>0</v>
      </c>
      <c r="F61" s="508">
        <v>0</v>
      </c>
      <c r="G61" s="482">
        <v>0</v>
      </c>
    </row>
    <row r="62" spans="1:7" s="285" customFormat="1" ht="12.75">
      <c r="A62" s="349">
        <v>386</v>
      </c>
      <c r="B62" s="350"/>
      <c r="C62" s="351" t="s">
        <v>289</v>
      </c>
      <c r="D62" s="346"/>
      <c r="E62" s="491">
        <v>0</v>
      </c>
      <c r="F62" s="508">
        <v>0</v>
      </c>
      <c r="G62" s="482">
        <v>0</v>
      </c>
    </row>
    <row r="63" spans="1:7" s="285" customFormat="1" ht="25.5">
      <c r="A63" s="278">
        <v>387</v>
      </c>
      <c r="B63" s="279"/>
      <c r="C63" s="280" t="s">
        <v>290</v>
      </c>
      <c r="D63" s="346"/>
      <c r="E63" s="491">
        <v>0</v>
      </c>
      <c r="F63" s="508">
        <v>0</v>
      </c>
      <c r="G63" s="482">
        <v>0</v>
      </c>
    </row>
    <row r="64" spans="1:7" s="285" customFormat="1" ht="12.75">
      <c r="A64" s="274">
        <v>389</v>
      </c>
      <c r="B64" s="352"/>
      <c r="C64" s="263" t="s">
        <v>57</v>
      </c>
      <c r="D64" s="275"/>
      <c r="E64" s="275">
        <v>0</v>
      </c>
      <c r="F64" s="266">
        <v>0</v>
      </c>
      <c r="G64" s="276">
        <v>0</v>
      </c>
    </row>
    <row r="65" spans="1:7" s="260" customFormat="1" ht="12.75">
      <c r="A65" s="274" t="s">
        <v>291</v>
      </c>
      <c r="B65" s="262"/>
      <c r="C65" s="263" t="s">
        <v>292</v>
      </c>
      <c r="D65" s="275"/>
      <c r="E65" s="275">
        <v>0</v>
      </c>
      <c r="F65" s="266">
        <v>0</v>
      </c>
      <c r="G65" s="276">
        <v>0</v>
      </c>
    </row>
    <row r="66" spans="1:7" s="355" customFormat="1" ht="25.5">
      <c r="A66" s="492" t="s">
        <v>293</v>
      </c>
      <c r="B66" s="354"/>
      <c r="C66" s="280" t="s">
        <v>294</v>
      </c>
      <c r="D66" s="344"/>
      <c r="E66" s="344">
        <v>0</v>
      </c>
      <c r="F66" s="312">
        <v>0</v>
      </c>
      <c r="G66" s="321">
        <v>0</v>
      </c>
    </row>
    <row r="67" spans="1:7" s="260" customFormat="1" ht="12.75">
      <c r="A67" s="353">
        <v>481</v>
      </c>
      <c r="B67" s="262"/>
      <c r="C67" s="263" t="s">
        <v>295</v>
      </c>
      <c r="D67" s="275"/>
      <c r="E67" s="275">
        <v>0</v>
      </c>
      <c r="F67" s="266">
        <v>0</v>
      </c>
      <c r="G67" s="276">
        <v>0</v>
      </c>
    </row>
    <row r="68" spans="1:7" s="260" customFormat="1" ht="12.75">
      <c r="A68" s="353">
        <v>482</v>
      </c>
      <c r="B68" s="262"/>
      <c r="C68" s="263" t="s">
        <v>296</v>
      </c>
      <c r="D68" s="275"/>
      <c r="E68" s="275">
        <v>0</v>
      </c>
      <c r="F68" s="266">
        <v>0</v>
      </c>
      <c r="G68" s="276">
        <v>0</v>
      </c>
    </row>
    <row r="69" spans="1:7" s="260" customFormat="1" ht="12.75">
      <c r="A69" s="353">
        <v>483</v>
      </c>
      <c r="B69" s="262"/>
      <c r="C69" s="263" t="s">
        <v>297</v>
      </c>
      <c r="D69" s="275"/>
      <c r="E69" s="275">
        <v>0</v>
      </c>
      <c r="F69" s="266">
        <v>0</v>
      </c>
      <c r="G69" s="276">
        <v>0</v>
      </c>
    </row>
    <row r="70" spans="1:7" s="260" customFormat="1" ht="12.75">
      <c r="A70" s="353">
        <v>484</v>
      </c>
      <c r="B70" s="262"/>
      <c r="C70" s="263" t="s">
        <v>298</v>
      </c>
      <c r="D70" s="275"/>
      <c r="E70" s="275">
        <v>0</v>
      </c>
      <c r="F70" s="266">
        <v>0</v>
      </c>
      <c r="G70" s="276">
        <v>0</v>
      </c>
    </row>
    <row r="71" spans="1:7" s="260" customFormat="1" ht="12.75">
      <c r="A71" s="353">
        <v>485</v>
      </c>
      <c r="B71" s="262"/>
      <c r="C71" s="263" t="s">
        <v>299</v>
      </c>
      <c r="D71" s="275"/>
      <c r="E71" s="275">
        <v>0</v>
      </c>
      <c r="F71" s="266">
        <v>0</v>
      </c>
      <c r="G71" s="276">
        <v>0</v>
      </c>
    </row>
    <row r="72" spans="1:7" s="260" customFormat="1" ht="12.75">
      <c r="A72" s="353">
        <v>486</v>
      </c>
      <c r="B72" s="262"/>
      <c r="C72" s="263" t="s">
        <v>300</v>
      </c>
      <c r="D72" s="275"/>
      <c r="E72" s="275">
        <v>0</v>
      </c>
      <c r="F72" s="266">
        <v>0</v>
      </c>
      <c r="G72" s="276">
        <v>0</v>
      </c>
    </row>
    <row r="73" spans="1:7" s="285" customFormat="1" ht="12.75">
      <c r="A73" s="353">
        <v>487</v>
      </c>
      <c r="B73" s="269"/>
      <c r="C73" s="263" t="s">
        <v>301</v>
      </c>
      <c r="D73" s="275"/>
      <c r="E73" s="264">
        <v>0</v>
      </c>
      <c r="F73" s="286">
        <v>0</v>
      </c>
      <c r="G73" s="276">
        <v>0</v>
      </c>
    </row>
    <row r="74" spans="1:7" s="285" customFormat="1" ht="12.75">
      <c r="A74" s="353">
        <v>489</v>
      </c>
      <c r="B74" s="356"/>
      <c r="C74" s="303" t="s">
        <v>74</v>
      </c>
      <c r="D74" s="275"/>
      <c r="E74" s="264">
        <v>3700</v>
      </c>
      <c r="F74" s="286">
        <v>0</v>
      </c>
      <c r="G74" s="276">
        <v>2200</v>
      </c>
    </row>
    <row r="75" spans="1:7" s="285" customFormat="1" ht="12.75">
      <c r="A75" s="357" t="s">
        <v>302</v>
      </c>
      <c r="B75" s="356"/>
      <c r="C75" s="330" t="s">
        <v>303</v>
      </c>
      <c r="D75" s="275"/>
      <c r="E75" s="275">
        <v>0</v>
      </c>
      <c r="F75" s="266">
        <v>0</v>
      </c>
      <c r="G75" s="276">
        <v>0</v>
      </c>
    </row>
    <row r="76" spans="1:7" ht="12.75">
      <c r="A76" s="309"/>
      <c r="B76" s="309"/>
      <c r="C76" s="310" t="s">
        <v>304</v>
      </c>
      <c r="D76" s="311">
        <f>SUM(D65:D74)-SUM(D57:D64)</f>
        <v>0</v>
      </c>
      <c r="E76" s="311">
        <f>SUM(E65:E74)-SUM(E57:E64)</f>
        <v>3700</v>
      </c>
      <c r="F76" s="311">
        <f>SUM(F65:F74)-SUM(F57:F64)</f>
        <v>0</v>
      </c>
      <c r="G76" s="311">
        <f>SUM(G65:G74)-SUM(G57:G64)</f>
        <v>2200</v>
      </c>
    </row>
    <row r="77" spans="1:7" ht="12.75">
      <c r="A77" s="358"/>
      <c r="B77" s="358"/>
      <c r="C77" s="310" t="s">
        <v>305</v>
      </c>
      <c r="D77" s="311">
        <f>D56+D76</f>
        <v>0</v>
      </c>
      <c r="E77" s="311">
        <f>E56+E76</f>
        <v>-110594.62900000015</v>
      </c>
      <c r="F77" s="311">
        <f>F56+F76</f>
        <v>-111391.19399999976</v>
      </c>
      <c r="G77" s="311">
        <f>G56+G76</f>
        <v>-146119.2</v>
      </c>
    </row>
    <row r="78" spans="1:7" ht="12.75">
      <c r="A78" s="359">
        <v>3</v>
      </c>
      <c r="B78" s="359"/>
      <c r="C78" s="360" t="s">
        <v>306</v>
      </c>
      <c r="D78" s="361">
        <f>D20+D21+SUM(D38:D43)+SUM(D57:D64)</f>
        <v>0</v>
      </c>
      <c r="E78" s="361">
        <f>E20+E21+SUM(E38:E43)+SUM(E57:E64)</f>
        <v>1950491.479</v>
      </c>
      <c r="F78" s="361">
        <f>F20+F21+SUM(F38:F43)+SUM(F57:F64)</f>
        <v>1919009.954</v>
      </c>
      <c r="G78" s="361">
        <f>G20+G21+SUM(G38:G43)+SUM(G57:G64)</f>
        <v>1981845.9</v>
      </c>
    </row>
    <row r="79" spans="1:7" ht="12.75">
      <c r="A79" s="359">
        <v>4</v>
      </c>
      <c r="B79" s="359"/>
      <c r="C79" s="360" t="s">
        <v>307</v>
      </c>
      <c r="D79" s="361">
        <f>D35+D36+SUM(D44:D53)+SUM(D65:D74)</f>
        <v>0</v>
      </c>
      <c r="E79" s="361">
        <f>E35+E36+SUM(E44:E53)+SUM(E65:E74)</f>
        <v>1839896.8499999999</v>
      </c>
      <c r="F79" s="361">
        <f>F35+F36+SUM(F44:F53)+SUM(F65:F74)</f>
        <v>1807618.7600000002</v>
      </c>
      <c r="G79" s="361">
        <f>G35+G36+SUM(G44:G53)+SUM(G65:G74)</f>
        <v>1835726.7</v>
      </c>
    </row>
    <row r="80" spans="1:7" ht="12.75">
      <c r="A80" s="362"/>
      <c r="B80" s="362"/>
      <c r="C80" s="363"/>
      <c r="D80" s="364"/>
      <c r="E80" s="364"/>
      <c r="F80" s="364"/>
      <c r="G80" s="364"/>
    </row>
    <row r="81" spans="1:7" ht="12.75">
      <c r="A81" s="611" t="s">
        <v>308</v>
      </c>
      <c r="B81" s="612"/>
      <c r="C81" s="612"/>
      <c r="D81" s="366"/>
      <c r="E81" s="365"/>
      <c r="F81" s="366"/>
      <c r="G81" s="365"/>
    </row>
    <row r="82" spans="1:7" s="260" customFormat="1" ht="12.75">
      <c r="A82" s="367">
        <v>50</v>
      </c>
      <c r="B82" s="368"/>
      <c r="C82" s="368" t="s">
        <v>309</v>
      </c>
      <c r="D82" s="316"/>
      <c r="E82" s="275">
        <v>164839</v>
      </c>
      <c r="F82" s="266">
        <v>149803.4</v>
      </c>
      <c r="G82" s="276">
        <v>161637</v>
      </c>
    </row>
    <row r="83" spans="1:7" s="260" customFormat="1" ht="12.75">
      <c r="A83" s="367">
        <v>51</v>
      </c>
      <c r="B83" s="368"/>
      <c r="C83" s="368" t="s">
        <v>310</v>
      </c>
      <c r="D83" s="316"/>
      <c r="E83" s="275">
        <v>0</v>
      </c>
      <c r="F83" s="266">
        <v>0</v>
      </c>
      <c r="G83" s="276">
        <v>0</v>
      </c>
    </row>
    <row r="84" spans="1:7" s="260" customFormat="1" ht="12.75">
      <c r="A84" s="367">
        <v>52</v>
      </c>
      <c r="B84" s="368"/>
      <c r="C84" s="368" t="s">
        <v>311</v>
      </c>
      <c r="D84" s="316"/>
      <c r="E84" s="275">
        <v>0</v>
      </c>
      <c r="F84" s="266">
        <v>0</v>
      </c>
      <c r="G84" s="276">
        <v>0</v>
      </c>
    </row>
    <row r="85" spans="1:7" s="260" customFormat="1" ht="12.75">
      <c r="A85" s="369">
        <v>54</v>
      </c>
      <c r="B85" s="370"/>
      <c r="C85" s="370" t="s">
        <v>312</v>
      </c>
      <c r="D85" s="316"/>
      <c r="E85" s="271">
        <v>9550</v>
      </c>
      <c r="F85" s="266">
        <v>14618.351</v>
      </c>
      <c r="G85" s="276">
        <v>10900</v>
      </c>
    </row>
    <row r="86" spans="1:7" s="260" customFormat="1" ht="12.75">
      <c r="A86" s="369">
        <v>55</v>
      </c>
      <c r="B86" s="370"/>
      <c r="C86" s="370" t="s">
        <v>313</v>
      </c>
      <c r="D86" s="316"/>
      <c r="E86" s="271">
        <v>0</v>
      </c>
      <c r="F86" s="266">
        <v>0</v>
      </c>
      <c r="G86" s="276">
        <v>0</v>
      </c>
    </row>
    <row r="87" spans="1:7" s="260" customFormat="1" ht="12.75">
      <c r="A87" s="369">
        <v>56</v>
      </c>
      <c r="B87" s="370"/>
      <c r="C87" s="370" t="s">
        <v>314</v>
      </c>
      <c r="D87" s="316"/>
      <c r="E87" s="271">
        <v>7360</v>
      </c>
      <c r="F87" s="266">
        <v>6011.4</v>
      </c>
      <c r="G87" s="276">
        <v>21692</v>
      </c>
    </row>
    <row r="88" spans="1:7" s="260" customFormat="1" ht="12.75">
      <c r="A88" s="367">
        <v>57</v>
      </c>
      <c r="B88" s="368"/>
      <c r="C88" s="368" t="s">
        <v>315</v>
      </c>
      <c r="D88" s="316"/>
      <c r="E88" s="275">
        <v>6580</v>
      </c>
      <c r="F88" s="266">
        <v>3711.34</v>
      </c>
      <c r="G88" s="276">
        <v>6120</v>
      </c>
    </row>
    <row r="89" spans="1:7" s="260" customFormat="1" ht="12.75">
      <c r="A89" s="367">
        <v>580</v>
      </c>
      <c r="B89" s="368"/>
      <c r="C89" s="368" t="s">
        <v>316</v>
      </c>
      <c r="D89" s="275"/>
      <c r="E89" s="275">
        <v>0</v>
      </c>
      <c r="F89" s="266">
        <v>0</v>
      </c>
      <c r="G89" s="276">
        <v>0</v>
      </c>
    </row>
    <row r="90" spans="1:7" s="260" customFormat="1" ht="12.75">
      <c r="A90" s="367">
        <v>582</v>
      </c>
      <c r="B90" s="368"/>
      <c r="C90" s="368" t="s">
        <v>317</v>
      </c>
      <c r="D90" s="275"/>
      <c r="E90" s="275">
        <v>0</v>
      </c>
      <c r="F90" s="266">
        <v>0</v>
      </c>
      <c r="G90" s="276">
        <v>0</v>
      </c>
    </row>
    <row r="91" spans="1:7" s="260" customFormat="1" ht="12.75">
      <c r="A91" s="367">
        <v>584</v>
      </c>
      <c r="B91" s="368"/>
      <c r="C91" s="368" t="s">
        <v>318</v>
      </c>
      <c r="D91" s="275"/>
      <c r="E91" s="275">
        <v>0</v>
      </c>
      <c r="F91" s="266">
        <v>0</v>
      </c>
      <c r="G91" s="276">
        <v>0</v>
      </c>
    </row>
    <row r="92" spans="1:7" s="260" customFormat="1" ht="12.75">
      <c r="A92" s="367">
        <v>585</v>
      </c>
      <c r="B92" s="368"/>
      <c r="C92" s="368" t="s">
        <v>319</v>
      </c>
      <c r="D92" s="275"/>
      <c r="E92" s="275">
        <v>0</v>
      </c>
      <c r="F92" s="266">
        <v>0</v>
      </c>
      <c r="G92" s="276">
        <v>0</v>
      </c>
    </row>
    <row r="93" spans="1:7" s="260" customFormat="1" ht="12.75">
      <c r="A93" s="367">
        <v>586</v>
      </c>
      <c r="B93" s="368"/>
      <c r="C93" s="368" t="s">
        <v>320</v>
      </c>
      <c r="D93" s="275"/>
      <c r="E93" s="275">
        <v>0</v>
      </c>
      <c r="F93" s="266">
        <v>0</v>
      </c>
      <c r="G93" s="276">
        <v>0</v>
      </c>
    </row>
    <row r="94" spans="1:7" s="260" customFormat="1" ht="12.75">
      <c r="A94" s="371">
        <v>589</v>
      </c>
      <c r="B94" s="372"/>
      <c r="C94" s="372" t="s">
        <v>321</v>
      </c>
      <c r="D94" s="306"/>
      <c r="E94" s="306">
        <v>0</v>
      </c>
      <c r="F94" s="373">
        <v>0</v>
      </c>
      <c r="G94" s="308">
        <v>0</v>
      </c>
    </row>
    <row r="95" spans="1:7" ht="12.75">
      <c r="A95" s="374">
        <v>5</v>
      </c>
      <c r="B95" s="375"/>
      <c r="C95" s="375" t="s">
        <v>322</v>
      </c>
      <c r="D95" s="376">
        <f>SUM(D82:D94)</f>
        <v>0</v>
      </c>
      <c r="E95" s="376">
        <f>SUM(E82:E94)</f>
        <v>188329</v>
      </c>
      <c r="F95" s="376">
        <f>SUM(F82:F94)</f>
        <v>174144.49099999998</v>
      </c>
      <c r="G95" s="376">
        <f>SUM(G82:G94)</f>
        <v>200349</v>
      </c>
    </row>
    <row r="96" spans="1:7" s="260" customFormat="1" ht="12.75">
      <c r="A96" s="367">
        <v>60</v>
      </c>
      <c r="B96" s="368"/>
      <c r="C96" s="368" t="s">
        <v>323</v>
      </c>
      <c r="D96" s="316"/>
      <c r="E96" s="275">
        <v>0</v>
      </c>
      <c r="F96" s="266">
        <v>332.2</v>
      </c>
      <c r="G96" s="276">
        <v>0</v>
      </c>
    </row>
    <row r="97" spans="1:7" s="260" customFormat="1" ht="12.75">
      <c r="A97" s="367">
        <v>61</v>
      </c>
      <c r="B97" s="368"/>
      <c r="C97" s="368" t="s">
        <v>324</v>
      </c>
      <c r="D97" s="316"/>
      <c r="E97" s="275">
        <v>0</v>
      </c>
      <c r="F97" s="266">
        <v>0</v>
      </c>
      <c r="G97" s="276">
        <v>0</v>
      </c>
    </row>
    <row r="98" spans="1:7" s="260" customFormat="1" ht="12.75">
      <c r="A98" s="367">
        <v>62</v>
      </c>
      <c r="B98" s="368"/>
      <c r="C98" s="368" t="s">
        <v>325</v>
      </c>
      <c r="D98" s="316"/>
      <c r="E98" s="275">
        <v>0</v>
      </c>
      <c r="F98" s="266">
        <v>0</v>
      </c>
      <c r="G98" s="276">
        <v>0</v>
      </c>
    </row>
    <row r="99" spans="1:7" s="260" customFormat="1" ht="12.75">
      <c r="A99" s="367">
        <v>63</v>
      </c>
      <c r="B99" s="368"/>
      <c r="C99" s="368" t="s">
        <v>326</v>
      </c>
      <c r="D99" s="316"/>
      <c r="E99" s="275">
        <v>49240.1</v>
      </c>
      <c r="F99" s="266">
        <v>43652.985</v>
      </c>
      <c r="G99" s="276">
        <v>52913.7</v>
      </c>
    </row>
    <row r="100" spans="1:7" s="260" customFormat="1" ht="12.75">
      <c r="A100" s="367">
        <v>64</v>
      </c>
      <c r="B100" s="368"/>
      <c r="C100" s="368" t="s">
        <v>327</v>
      </c>
      <c r="D100" s="316"/>
      <c r="E100" s="271">
        <v>3887</v>
      </c>
      <c r="F100" s="266">
        <v>3653.52</v>
      </c>
      <c r="G100" s="276">
        <v>3887.3</v>
      </c>
    </row>
    <row r="101" spans="1:7" s="260" customFormat="1" ht="12.75">
      <c r="A101" s="367">
        <v>65</v>
      </c>
      <c r="B101" s="368"/>
      <c r="C101" s="368" t="s">
        <v>328</v>
      </c>
      <c r="D101" s="316"/>
      <c r="E101" s="271">
        <v>0</v>
      </c>
      <c r="F101" s="266">
        <v>0</v>
      </c>
      <c r="G101" s="276">
        <v>0</v>
      </c>
    </row>
    <row r="102" spans="1:7" s="260" customFormat="1" ht="12.75">
      <c r="A102" s="367">
        <v>66</v>
      </c>
      <c r="B102" s="368"/>
      <c r="C102" s="368" t="s">
        <v>329</v>
      </c>
      <c r="D102" s="316"/>
      <c r="E102" s="271">
        <v>0</v>
      </c>
      <c r="F102" s="266">
        <v>0</v>
      </c>
      <c r="G102" s="276">
        <v>0</v>
      </c>
    </row>
    <row r="103" spans="1:7" s="260" customFormat="1" ht="12.75">
      <c r="A103" s="367">
        <v>67</v>
      </c>
      <c r="B103" s="368"/>
      <c r="C103" s="368" t="s">
        <v>315</v>
      </c>
      <c r="D103" s="316"/>
      <c r="E103" s="275">
        <v>6580</v>
      </c>
      <c r="F103" s="286">
        <v>3711.34</v>
      </c>
      <c r="G103" s="267">
        <v>6120</v>
      </c>
    </row>
    <row r="104" spans="1:7" s="260" customFormat="1" ht="25.5">
      <c r="A104" s="377" t="s">
        <v>330</v>
      </c>
      <c r="B104" s="368"/>
      <c r="C104" s="378" t="s">
        <v>331</v>
      </c>
      <c r="D104" s="264"/>
      <c r="E104" s="264">
        <v>0</v>
      </c>
      <c r="F104" s="286">
        <v>0</v>
      </c>
      <c r="G104" s="267">
        <v>0</v>
      </c>
    </row>
    <row r="105" spans="1:7" s="260" customFormat="1" ht="38.25">
      <c r="A105" s="381" t="s">
        <v>332</v>
      </c>
      <c r="B105" s="372"/>
      <c r="C105" s="382" t="s">
        <v>333</v>
      </c>
      <c r="D105" s="304"/>
      <c r="E105" s="304">
        <v>0</v>
      </c>
      <c r="F105" s="307">
        <v>0</v>
      </c>
      <c r="G105" s="486">
        <v>0</v>
      </c>
    </row>
    <row r="106" spans="1:7" ht="12.75">
      <c r="A106" s="374">
        <v>6</v>
      </c>
      <c r="B106" s="375"/>
      <c r="C106" s="375" t="s">
        <v>334</v>
      </c>
      <c r="D106" s="376">
        <f>SUM(D96:D105)</f>
        <v>0</v>
      </c>
      <c r="E106" s="376">
        <f>SUM(E96:E105)</f>
        <v>59707.1</v>
      </c>
      <c r="F106" s="376">
        <f>SUM(F96:F105)</f>
        <v>51350.045</v>
      </c>
      <c r="G106" s="376">
        <f>SUM(G96:G105)</f>
        <v>62921</v>
      </c>
    </row>
    <row r="107" spans="1:7" ht="12.75">
      <c r="A107" s="386" t="s">
        <v>335</v>
      </c>
      <c r="B107" s="386"/>
      <c r="C107" s="375" t="s">
        <v>3</v>
      </c>
      <c r="D107" s="376">
        <f>(D95-D88)-(D106-D103)</f>
        <v>0</v>
      </c>
      <c r="E107" s="376">
        <f>(E95-E88)-(E106-E103)</f>
        <v>128621.9</v>
      </c>
      <c r="F107" s="376">
        <f>(F95-F88)-(F106-F103)</f>
        <v>122794.44599999998</v>
      </c>
      <c r="G107" s="376">
        <f>(G95-G88)-(G106-G103)</f>
        <v>137428</v>
      </c>
    </row>
    <row r="108" spans="1:7" ht="12.75">
      <c r="A108" s="387" t="s">
        <v>336</v>
      </c>
      <c r="B108" s="387"/>
      <c r="C108" s="388" t="s">
        <v>337</v>
      </c>
      <c r="D108" s="389">
        <f>D107-D85-D86+D100+D101</f>
        <v>0</v>
      </c>
      <c r="E108" s="389">
        <f>E107-E85-E86+E100+E101</f>
        <v>122958.9</v>
      </c>
      <c r="F108" s="389">
        <f>F107-F85-F86+F100+F101</f>
        <v>111829.61499999999</v>
      </c>
      <c r="G108" s="389">
        <f>G107-G85-G86+G100+G101</f>
        <v>130415.3</v>
      </c>
    </row>
    <row r="109" spans="1:7" ht="12.75">
      <c r="A109" s="362"/>
      <c r="B109" s="362"/>
      <c r="C109" s="363"/>
      <c r="D109" s="364"/>
      <c r="E109" s="364"/>
      <c r="F109" s="364"/>
      <c r="G109" s="364"/>
    </row>
    <row r="110" spans="1:7" s="250" customFormat="1" ht="12.75">
      <c r="A110" s="390" t="s">
        <v>338</v>
      </c>
      <c r="B110" s="391"/>
      <c r="C110" s="390"/>
      <c r="D110" s="364"/>
      <c r="E110" s="364"/>
      <c r="F110" s="364"/>
      <c r="G110" s="364"/>
    </row>
    <row r="111" spans="1:7" s="396" customFormat="1" ht="12.75">
      <c r="A111" s="392">
        <v>10</v>
      </c>
      <c r="B111" s="393"/>
      <c r="C111" s="393" t="s">
        <v>339</v>
      </c>
      <c r="D111" s="394">
        <f>D112+D117</f>
        <v>0</v>
      </c>
      <c r="E111" s="493">
        <f>E112+E117</f>
        <v>0</v>
      </c>
      <c r="F111" s="394">
        <f>F112+F117</f>
        <v>1081273.1</v>
      </c>
      <c r="G111" s="395">
        <f>G112+G117</f>
        <v>0</v>
      </c>
    </row>
    <row r="112" spans="1:7" s="396" customFormat="1" ht="12.75">
      <c r="A112" s="397" t="s">
        <v>340</v>
      </c>
      <c r="B112" s="398"/>
      <c r="C112" s="398" t="s">
        <v>341</v>
      </c>
      <c r="D112" s="394">
        <f>D113+D114+D115+D116</f>
        <v>0</v>
      </c>
      <c r="E112" s="493">
        <f>E113+E114+E115+E116</f>
        <v>0</v>
      </c>
      <c r="F112" s="394">
        <f>F113+F114+F115+F116</f>
        <v>757126</v>
      </c>
      <c r="G112" s="395">
        <f>G113+G114+G115+G116</f>
        <v>0</v>
      </c>
    </row>
    <row r="113" spans="1:7" s="396" customFormat="1" ht="12.75">
      <c r="A113" s="410" t="s">
        <v>342</v>
      </c>
      <c r="B113" s="411"/>
      <c r="C113" s="411" t="s">
        <v>343</v>
      </c>
      <c r="D113" s="275"/>
      <c r="E113" s="316"/>
      <c r="F113" s="275">
        <v>656889.1</v>
      </c>
      <c r="G113" s="277"/>
    </row>
    <row r="114" spans="1:7" s="406" customFormat="1" ht="15" customHeight="1">
      <c r="A114" s="414">
        <v>102</v>
      </c>
      <c r="B114" s="494"/>
      <c r="C114" s="494" t="s">
        <v>344</v>
      </c>
      <c r="D114" s="344"/>
      <c r="E114" s="344"/>
      <c r="F114" s="344">
        <v>0</v>
      </c>
      <c r="G114" s="495"/>
    </row>
    <row r="115" spans="1:7" s="396" customFormat="1" ht="12.75">
      <c r="A115" s="410">
        <v>104</v>
      </c>
      <c r="B115" s="411"/>
      <c r="C115" s="411" t="s">
        <v>345</v>
      </c>
      <c r="D115" s="275"/>
      <c r="E115" s="316"/>
      <c r="F115" s="275">
        <v>95738.6</v>
      </c>
      <c r="G115" s="277"/>
    </row>
    <row r="116" spans="1:7" s="396" customFormat="1" ht="12.75">
      <c r="A116" s="410">
        <v>106</v>
      </c>
      <c r="B116" s="411"/>
      <c r="C116" s="411" t="s">
        <v>346</v>
      </c>
      <c r="D116" s="275"/>
      <c r="E116" s="316"/>
      <c r="F116" s="275">
        <v>4498.3</v>
      </c>
      <c r="G116" s="277"/>
    </row>
    <row r="117" spans="1:7" s="396" customFormat="1" ht="12.75">
      <c r="A117" s="397" t="s">
        <v>347</v>
      </c>
      <c r="B117" s="398"/>
      <c r="C117" s="398" t="s">
        <v>348</v>
      </c>
      <c r="D117" s="394">
        <f>D118+D119+D120</f>
        <v>0</v>
      </c>
      <c r="E117" s="493">
        <f>E118+E119+E120</f>
        <v>0</v>
      </c>
      <c r="F117" s="394">
        <f>F118+F119+F120</f>
        <v>324147.1</v>
      </c>
      <c r="G117" s="395">
        <f>G118+G119+G120</f>
        <v>0</v>
      </c>
    </row>
    <row r="118" spans="1:7" s="396" customFormat="1" ht="12.75">
      <c r="A118" s="410">
        <v>107</v>
      </c>
      <c r="B118" s="411"/>
      <c r="C118" s="411" t="s">
        <v>349</v>
      </c>
      <c r="D118" s="275"/>
      <c r="E118" s="316"/>
      <c r="F118" s="275">
        <v>170575.7</v>
      </c>
      <c r="G118" s="277"/>
    </row>
    <row r="119" spans="1:7" s="396" customFormat="1" ht="12.75">
      <c r="A119" s="410">
        <v>108</v>
      </c>
      <c r="B119" s="411"/>
      <c r="C119" s="411" t="s">
        <v>350</v>
      </c>
      <c r="D119" s="275"/>
      <c r="E119" s="316"/>
      <c r="F119" s="275">
        <v>153571.4</v>
      </c>
      <c r="G119" s="277"/>
    </row>
    <row r="120" spans="1:7" s="409" customFormat="1" ht="25.5">
      <c r="A120" s="414">
        <v>109</v>
      </c>
      <c r="B120" s="415"/>
      <c r="C120" s="415" t="s">
        <v>351</v>
      </c>
      <c r="D120" s="281"/>
      <c r="E120" s="281"/>
      <c r="F120" s="281">
        <v>0</v>
      </c>
      <c r="G120" s="496"/>
    </row>
    <row r="121" spans="1:7" s="396" customFormat="1" ht="12.75">
      <c r="A121" s="397">
        <v>14</v>
      </c>
      <c r="B121" s="398"/>
      <c r="C121" s="398" t="s">
        <v>352</v>
      </c>
      <c r="D121" s="394">
        <f>SUM(D122:D130)</f>
        <v>0</v>
      </c>
      <c r="E121" s="394">
        <f>SUM(E122:E130)</f>
        <v>0</v>
      </c>
      <c r="F121" s="394">
        <f>SUM(F122:F130)</f>
        <v>1476684.446</v>
      </c>
      <c r="G121" s="394">
        <f>SUM(G122:G130)</f>
        <v>0</v>
      </c>
    </row>
    <row r="122" spans="1:7" s="396" customFormat="1" ht="12.75">
      <c r="A122" s="410" t="s">
        <v>353</v>
      </c>
      <c r="B122" s="411"/>
      <c r="C122" s="411" t="s">
        <v>354</v>
      </c>
      <c r="D122" s="275"/>
      <c r="E122" s="316"/>
      <c r="F122" s="275">
        <v>1339628.4</v>
      </c>
      <c r="G122" s="277"/>
    </row>
    <row r="123" spans="1:7" s="396" customFormat="1" ht="12.75">
      <c r="A123" s="410">
        <v>144</v>
      </c>
      <c r="B123" s="411"/>
      <c r="C123" s="411" t="s">
        <v>312</v>
      </c>
      <c r="D123" s="275"/>
      <c r="E123" s="316"/>
      <c r="F123" s="275">
        <v>113193.466</v>
      </c>
      <c r="G123" s="277"/>
    </row>
    <row r="124" spans="1:7" s="396" customFormat="1" ht="12.75">
      <c r="A124" s="410">
        <v>145</v>
      </c>
      <c r="B124" s="411"/>
      <c r="C124" s="411" t="s">
        <v>355</v>
      </c>
      <c r="D124" s="275"/>
      <c r="E124" s="316"/>
      <c r="F124" s="275">
        <v>23862.58</v>
      </c>
      <c r="G124" s="413"/>
    </row>
    <row r="125" spans="1:7" s="396" customFormat="1" ht="12.75">
      <c r="A125" s="410">
        <v>146</v>
      </c>
      <c r="B125" s="411"/>
      <c r="C125" s="411" t="s">
        <v>356</v>
      </c>
      <c r="D125" s="275"/>
      <c r="E125" s="316"/>
      <c r="F125" s="275">
        <v>0</v>
      </c>
      <c r="G125" s="413"/>
    </row>
    <row r="126" spans="1:7" s="409" customFormat="1" ht="29.25" customHeight="1">
      <c r="A126" s="414" t="s">
        <v>357</v>
      </c>
      <c r="B126" s="415"/>
      <c r="C126" s="415" t="s">
        <v>358</v>
      </c>
      <c r="D126" s="281"/>
      <c r="E126" s="281"/>
      <c r="F126" s="281">
        <v>0</v>
      </c>
      <c r="G126" s="417"/>
    </row>
    <row r="127" spans="1:7" s="396" customFormat="1" ht="12.75">
      <c r="A127" s="410">
        <v>1484</v>
      </c>
      <c r="B127" s="411"/>
      <c r="C127" s="411" t="s">
        <v>359</v>
      </c>
      <c r="D127" s="275"/>
      <c r="E127" s="316"/>
      <c r="F127" s="275">
        <v>0</v>
      </c>
      <c r="G127" s="413"/>
    </row>
    <row r="128" spans="1:7" s="396" customFormat="1" ht="12.75">
      <c r="A128" s="410">
        <v>1485</v>
      </c>
      <c r="B128" s="411"/>
      <c r="C128" s="411" t="s">
        <v>360</v>
      </c>
      <c r="D128" s="275"/>
      <c r="E128" s="316"/>
      <c r="F128" s="275">
        <v>0</v>
      </c>
      <c r="G128" s="413"/>
    </row>
    <row r="129" spans="1:7" s="396" customFormat="1" ht="12.75">
      <c r="A129" s="410">
        <v>1486</v>
      </c>
      <c r="B129" s="411"/>
      <c r="C129" s="411" t="s">
        <v>361</v>
      </c>
      <c r="D129" s="275"/>
      <c r="E129" s="316"/>
      <c r="F129" s="275">
        <v>0</v>
      </c>
      <c r="G129" s="413"/>
    </row>
    <row r="130" spans="1:7" s="396" customFormat="1" ht="12.75">
      <c r="A130" s="418">
        <v>1489</v>
      </c>
      <c r="B130" s="419"/>
      <c r="C130" s="419" t="s">
        <v>362</v>
      </c>
      <c r="D130" s="306"/>
      <c r="E130" s="497"/>
      <c r="F130" s="306">
        <v>0</v>
      </c>
      <c r="G130" s="421"/>
    </row>
    <row r="131" spans="1:7" s="250" customFormat="1" ht="12.75">
      <c r="A131" s="422">
        <v>1</v>
      </c>
      <c r="B131" s="423"/>
      <c r="C131" s="422" t="s">
        <v>363</v>
      </c>
      <c r="D131" s="424">
        <f>D111+D121</f>
        <v>0</v>
      </c>
      <c r="E131" s="424">
        <f>E111+E121</f>
        <v>0</v>
      </c>
      <c r="F131" s="424">
        <f>F111+F121</f>
        <v>2557957.546</v>
      </c>
      <c r="G131" s="424">
        <f>G111+G121</f>
        <v>0</v>
      </c>
    </row>
    <row r="132" spans="1:7" s="250" customFormat="1" ht="12.75">
      <c r="A132" s="362"/>
      <c r="B132" s="362"/>
      <c r="C132" s="363"/>
      <c r="D132" s="364"/>
      <c r="E132" s="364"/>
      <c r="F132" s="364"/>
      <c r="G132" s="364"/>
    </row>
    <row r="133" spans="1:7" s="396" customFormat="1" ht="12.75">
      <c r="A133" s="392">
        <v>20</v>
      </c>
      <c r="B133" s="393"/>
      <c r="C133" s="393" t="s">
        <v>364</v>
      </c>
      <c r="D133" s="425">
        <f>D134+D140</f>
        <v>0</v>
      </c>
      <c r="E133" s="425">
        <f>E134+E140</f>
        <v>0</v>
      </c>
      <c r="F133" s="425">
        <f>F134+F140</f>
        <v>1613989.8199999998</v>
      </c>
      <c r="G133" s="426">
        <f>G134+G140</f>
        <v>0</v>
      </c>
    </row>
    <row r="134" spans="1:7" s="396" customFormat="1" ht="12.75">
      <c r="A134" s="427" t="s">
        <v>365</v>
      </c>
      <c r="B134" s="398"/>
      <c r="C134" s="398" t="s">
        <v>366</v>
      </c>
      <c r="D134" s="394">
        <f>D135+D136+D138+D139</f>
        <v>0</v>
      </c>
      <c r="E134" s="394">
        <f>E135+E136+E138+E139</f>
        <v>0</v>
      </c>
      <c r="F134" s="394">
        <f>F135+F136+F138+F139</f>
        <v>511447.06999999995</v>
      </c>
      <c r="G134" s="395">
        <f>G135+G136+G138+G139</f>
        <v>0</v>
      </c>
    </row>
    <row r="135" spans="1:7" s="429" customFormat="1" ht="12.75">
      <c r="A135" s="428">
        <v>200</v>
      </c>
      <c r="B135" s="411"/>
      <c r="C135" s="411" t="s">
        <v>367</v>
      </c>
      <c r="D135" s="275"/>
      <c r="E135" s="275"/>
      <c r="F135" s="275">
        <v>236183.97</v>
      </c>
      <c r="G135" s="277"/>
    </row>
    <row r="136" spans="1:7" s="429" customFormat="1" ht="12.75">
      <c r="A136" s="428">
        <v>201</v>
      </c>
      <c r="B136" s="411"/>
      <c r="C136" s="411" t="s">
        <v>368</v>
      </c>
      <c r="D136" s="275"/>
      <c r="E136" s="275"/>
      <c r="F136" s="275">
        <v>50057.2</v>
      </c>
      <c r="G136" s="277"/>
    </row>
    <row r="137" spans="1:7" s="429" customFormat="1" ht="12.75">
      <c r="A137" s="430" t="s">
        <v>369</v>
      </c>
      <c r="B137" s="400"/>
      <c r="C137" s="400" t="s">
        <v>370</v>
      </c>
      <c r="D137" s="271"/>
      <c r="E137" s="271"/>
      <c r="F137" s="271">
        <v>0</v>
      </c>
      <c r="G137" s="432"/>
    </row>
    <row r="138" spans="1:7" s="429" customFormat="1" ht="12.75">
      <c r="A138" s="428">
        <v>204</v>
      </c>
      <c r="B138" s="411"/>
      <c r="C138" s="411" t="s">
        <v>371</v>
      </c>
      <c r="D138" s="275"/>
      <c r="E138" s="275"/>
      <c r="F138" s="275">
        <v>225205.9</v>
      </c>
      <c r="G138" s="413"/>
    </row>
    <row r="139" spans="1:7" s="429" customFormat="1" ht="12.75">
      <c r="A139" s="428">
        <v>205</v>
      </c>
      <c r="B139" s="411"/>
      <c r="C139" s="411" t="s">
        <v>372</v>
      </c>
      <c r="D139" s="275"/>
      <c r="E139" s="275"/>
      <c r="F139" s="275">
        <v>0</v>
      </c>
      <c r="G139" s="413"/>
    </row>
    <row r="140" spans="1:7" s="429" customFormat="1" ht="12.75">
      <c r="A140" s="427" t="s">
        <v>373</v>
      </c>
      <c r="B140" s="398"/>
      <c r="C140" s="398" t="s">
        <v>374</v>
      </c>
      <c r="D140" s="394">
        <f>D141+D143+D144</f>
        <v>0</v>
      </c>
      <c r="E140" s="394">
        <f>E141+E143+E144</f>
        <v>0</v>
      </c>
      <c r="F140" s="394">
        <f>F141+F143+F144</f>
        <v>1102542.75</v>
      </c>
      <c r="G140" s="395">
        <f>G141+G143+G144</f>
        <v>0</v>
      </c>
    </row>
    <row r="141" spans="1:7" s="429" customFormat="1" ht="12.75">
      <c r="A141" s="428">
        <v>206</v>
      </c>
      <c r="B141" s="411"/>
      <c r="C141" s="411" t="s">
        <v>375</v>
      </c>
      <c r="D141" s="275"/>
      <c r="E141" s="275"/>
      <c r="F141" s="275">
        <v>545917.52</v>
      </c>
      <c r="G141" s="413"/>
    </row>
    <row r="142" spans="1:7" s="429" customFormat="1" ht="12.75">
      <c r="A142" s="430" t="s">
        <v>376</v>
      </c>
      <c r="B142" s="400"/>
      <c r="C142" s="400" t="s">
        <v>377</v>
      </c>
      <c r="D142" s="271"/>
      <c r="E142" s="271"/>
      <c r="F142" s="271"/>
      <c r="G142" s="432"/>
    </row>
    <row r="143" spans="1:7" s="429" customFormat="1" ht="12.75">
      <c r="A143" s="428">
        <v>208</v>
      </c>
      <c r="B143" s="411"/>
      <c r="C143" s="411" t="s">
        <v>378</v>
      </c>
      <c r="D143" s="275"/>
      <c r="E143" s="275"/>
      <c r="F143" s="275">
        <v>467282.93</v>
      </c>
      <c r="G143" s="413"/>
    </row>
    <row r="144" spans="1:7" s="433" customFormat="1" ht="25.5">
      <c r="A144" s="414">
        <v>209</v>
      </c>
      <c r="B144" s="415"/>
      <c r="C144" s="415" t="s">
        <v>379</v>
      </c>
      <c r="D144" s="281"/>
      <c r="E144" s="281"/>
      <c r="F144" s="281">
        <v>89342.3</v>
      </c>
      <c r="G144" s="417"/>
    </row>
    <row r="145" spans="1:7" s="396" customFormat="1" ht="12.75">
      <c r="A145" s="427">
        <v>29</v>
      </c>
      <c r="B145" s="398"/>
      <c r="C145" s="398" t="s">
        <v>380</v>
      </c>
      <c r="D145" s="412"/>
      <c r="E145" s="412"/>
      <c r="F145" s="412">
        <v>943967.9</v>
      </c>
      <c r="G145" s="413"/>
    </row>
    <row r="146" spans="1:7" s="396" customFormat="1" ht="12.75">
      <c r="A146" s="434" t="s">
        <v>381</v>
      </c>
      <c r="B146" s="435"/>
      <c r="C146" s="435" t="s">
        <v>382</v>
      </c>
      <c r="D146" s="306"/>
      <c r="E146" s="306"/>
      <c r="F146" s="332">
        <v>414768.6</v>
      </c>
      <c r="G146" s="436"/>
    </row>
    <row r="147" spans="1:7" s="250" customFormat="1" ht="12.75">
      <c r="A147" s="422">
        <v>2</v>
      </c>
      <c r="B147" s="423"/>
      <c r="C147" s="422" t="s">
        <v>383</v>
      </c>
      <c r="D147" s="424">
        <f>D133+D145</f>
        <v>0</v>
      </c>
      <c r="E147" s="424">
        <f>E133+E145</f>
        <v>0</v>
      </c>
      <c r="F147" s="424">
        <f>F133+F145</f>
        <v>2557957.7199999997</v>
      </c>
      <c r="G147" s="424">
        <f>G133+G145</f>
        <v>0</v>
      </c>
    </row>
    <row r="148" spans="4:6" ht="7.5" customHeight="1">
      <c r="D148" s="250"/>
      <c r="F148" s="250"/>
    </row>
    <row r="149" spans="1:7" ht="13.5" customHeight="1">
      <c r="A149" s="437" t="s">
        <v>384</v>
      </c>
      <c r="B149" s="438"/>
      <c r="C149" s="439" t="s">
        <v>385</v>
      </c>
      <c r="D149" s="438"/>
      <c r="E149" s="438"/>
      <c r="F149" s="438"/>
      <c r="G149" s="438"/>
    </row>
    <row r="150" spans="1:7" ht="12.75">
      <c r="A150" s="516" t="s">
        <v>386</v>
      </c>
      <c r="B150" s="516"/>
      <c r="C150" s="516" t="s">
        <v>97</v>
      </c>
      <c r="D150" s="442">
        <f>D77+SUM(D8:D12)-D30-D31+D16-D33+D59+D63-D73+D64-D74-D54+D20-D35</f>
        <v>0</v>
      </c>
      <c r="E150" s="442">
        <f>E77+SUM(E8:E12)-E30-E31+E16-E33+E59+E63-E73+E64-E74-E54+E20-E35</f>
        <v>-31324.62900000014</v>
      </c>
      <c r="F150" s="442">
        <f>F77+SUM(F8:F12)-F30-F31+F16-F33+F59+F63-F73+F64-F74-F54+F20-F35</f>
        <v>-47016.59999999976</v>
      </c>
      <c r="G150" s="442">
        <f>G77+SUM(G8:G12)-G30-G31+G16-G33+G59+G63-G73+G64-G74-G54+G20-G35</f>
        <v>-87692.20000000001</v>
      </c>
    </row>
    <row r="151" spans="1:7" ht="12.75">
      <c r="A151" s="517" t="s">
        <v>387</v>
      </c>
      <c r="B151" s="517"/>
      <c r="C151" s="517" t="s">
        <v>388</v>
      </c>
      <c r="D151" s="445">
        <f>IF(D177=0,0,D150/D177)</f>
        <v>0</v>
      </c>
      <c r="E151" s="445">
        <f>IF(E177=0,0,E150/E177)</f>
        <v>-0.017810259894427343</v>
      </c>
      <c r="F151" s="445">
        <f>IF(F177=0,0,F150/F177)</f>
        <v>-0.027287796848218287</v>
      </c>
      <c r="G151" s="445">
        <f>IF(G177=0,0,G150/G177)</f>
        <v>-0.05006500751584282</v>
      </c>
    </row>
    <row r="152" spans="1:7" s="449" customFormat="1" ht="25.5">
      <c r="A152" s="511" t="s">
        <v>389</v>
      </c>
      <c r="B152" s="511"/>
      <c r="C152" s="511" t="s">
        <v>390</v>
      </c>
      <c r="D152" s="591">
        <f>IF(IF(D107=0,0,D$150/D107)&lt;0,"negativ",(IF(D107=0,0,D$150/D107)))</f>
        <v>0</v>
      </c>
      <c r="E152" s="591" t="str">
        <f>IF(IF(E107=0,0,E$150/E107)&lt;0,"negativ",(IF(E107=0,0,E$150/E107)))</f>
        <v>negativ</v>
      </c>
      <c r="F152" s="591" t="str">
        <f>IF(IF(F107=0,0,F$150/F107)&lt;0,"negativ",(IF(F107=0,0,F$150/F107)))</f>
        <v>negativ</v>
      </c>
      <c r="G152" s="591" t="str">
        <f>IF(IF(G107=0,0,G$150/G107)&lt;0,"negativ",(IF(G107=0,0,G$150/G107)))</f>
        <v>negativ</v>
      </c>
    </row>
    <row r="153" spans="1:7" s="449" customFormat="1" ht="25.5">
      <c r="A153" s="512" t="s">
        <v>389</v>
      </c>
      <c r="B153" s="512"/>
      <c r="C153" s="512" t="s">
        <v>391</v>
      </c>
      <c r="D153" s="592">
        <f>IF(IF(D108=0,0,D$150/D108)&lt;0,"negativ",(IF(D108=0,0,D$150/D108)))</f>
        <v>0</v>
      </c>
      <c r="E153" s="592" t="str">
        <f>IF(IF(E108=0,0,E$150/E108)&lt;0,"negativ",(IF(E108=0,0,E$150/E108)))</f>
        <v>negativ</v>
      </c>
      <c r="F153" s="592" t="str">
        <f>IF(IF(F108=0,0,F$150/F108)&lt;0,"negativ",(IF(F108=0,0,F$150/F108)))</f>
        <v>negativ</v>
      </c>
      <c r="G153" s="592" t="str">
        <f>IF(IF(G108=0,0,G$150/G108)&lt;0,"negativ",(IF(G108=0,0,G$150/G108)))</f>
        <v>negativ</v>
      </c>
    </row>
    <row r="154" spans="1:7" ht="25.5">
      <c r="A154" s="513" t="s">
        <v>392</v>
      </c>
      <c r="B154" s="513"/>
      <c r="C154" s="513" t="s">
        <v>393</v>
      </c>
      <c r="D154" s="455">
        <f>D150-D107</f>
        <v>0</v>
      </c>
      <c r="E154" s="455">
        <f>E150-E107</f>
        <v>-159946.52900000013</v>
      </c>
      <c r="F154" s="455">
        <f>F150-F107</f>
        <v>-169811.04599999974</v>
      </c>
      <c r="G154" s="455">
        <f>G150-G107</f>
        <v>-225120.2</v>
      </c>
    </row>
    <row r="155" spans="1:7" ht="25.5">
      <c r="A155" s="512" t="s">
        <v>394</v>
      </c>
      <c r="B155" s="512"/>
      <c r="C155" s="512" t="s">
        <v>395</v>
      </c>
      <c r="D155" s="456">
        <f>D150-D108</f>
        <v>0</v>
      </c>
      <c r="E155" s="456">
        <f>E150-E108</f>
        <v>-154283.52900000013</v>
      </c>
      <c r="F155" s="456">
        <f>F150-F108</f>
        <v>-158846.21499999973</v>
      </c>
      <c r="G155" s="456">
        <f>G150-G108</f>
        <v>-218107.5</v>
      </c>
    </row>
    <row r="156" spans="1:7" ht="12.75">
      <c r="A156" s="516" t="s">
        <v>396</v>
      </c>
      <c r="B156" s="516"/>
      <c r="C156" s="516" t="s">
        <v>397</v>
      </c>
      <c r="D156" s="457">
        <f>D135+D136-D137+D141-D142</f>
        <v>0</v>
      </c>
      <c r="E156" s="457">
        <f>E135+E136-E137+E141-E142</f>
        <v>0</v>
      </c>
      <c r="F156" s="457">
        <f>F135+F136-F137+F141-F142</f>
        <v>832158.69</v>
      </c>
      <c r="G156" s="457">
        <f>G135+G136-G137+G141-G142</f>
        <v>0</v>
      </c>
    </row>
    <row r="157" spans="1:7" ht="12.75">
      <c r="A157" s="518" t="s">
        <v>398</v>
      </c>
      <c r="B157" s="518"/>
      <c r="C157" s="518" t="s">
        <v>399</v>
      </c>
      <c r="D157" s="460">
        <f>IF(D177=0,0,D156/D177)</f>
        <v>0</v>
      </c>
      <c r="E157" s="460">
        <f>IF(E177=0,0,E156/E177)</f>
        <v>0</v>
      </c>
      <c r="F157" s="460">
        <f>IF(F177=0,0,F156/F177)</f>
        <v>0.48297361523801324</v>
      </c>
      <c r="G157" s="460">
        <f>IF(G177=0,0,G156/G177)</f>
        <v>0</v>
      </c>
    </row>
    <row r="158" spans="1:7" ht="12.75">
      <c r="A158" s="516" t="s">
        <v>400</v>
      </c>
      <c r="B158" s="516"/>
      <c r="C158" s="516" t="s">
        <v>401</v>
      </c>
      <c r="D158" s="457">
        <f>D133-D142-D111</f>
        <v>0</v>
      </c>
      <c r="E158" s="457">
        <f>E133-E142-E111</f>
        <v>0</v>
      </c>
      <c r="F158" s="457">
        <f>F133-F142-F111</f>
        <v>532716.7199999997</v>
      </c>
      <c r="G158" s="457">
        <f>G133-G142-G111</f>
        <v>0</v>
      </c>
    </row>
    <row r="159" spans="1:7" ht="12.75">
      <c r="A159" s="517" t="s">
        <v>402</v>
      </c>
      <c r="B159" s="517"/>
      <c r="C159" s="517" t="s">
        <v>403</v>
      </c>
      <c r="D159" s="461">
        <f>D121-D123-D124-D142-D145</f>
        <v>0</v>
      </c>
      <c r="E159" s="461">
        <f>E121-E123-E124-E142-E145</f>
        <v>0</v>
      </c>
      <c r="F159" s="461">
        <f>F121-F123-F124-F142-F145</f>
        <v>395660.4999999999</v>
      </c>
      <c r="G159" s="461">
        <f>G121-G123-G124-G142-G145</f>
        <v>0</v>
      </c>
    </row>
    <row r="160" spans="1:7" ht="12.75">
      <c r="A160" s="517" t="s">
        <v>404</v>
      </c>
      <c r="B160" s="517"/>
      <c r="C160" s="517" t="s">
        <v>405</v>
      </c>
      <c r="D160" s="462" t="str">
        <f>IF(D175=0,"-",1000*D158/D175)</f>
        <v>-</v>
      </c>
      <c r="E160" s="462">
        <f>IF(E175=0,"-",1000*E158/E175)</f>
        <v>0</v>
      </c>
      <c r="F160" s="462">
        <f>IF(F175=0,"-",1000*F158/F175)</f>
        <v>2062.3953542392555</v>
      </c>
      <c r="G160" s="462">
        <f>IF(G175=0,"-",1000*G158/G175)</f>
        <v>0</v>
      </c>
    </row>
    <row r="161" spans="1:7" ht="12.75">
      <c r="A161" s="517" t="s">
        <v>404</v>
      </c>
      <c r="B161" s="517"/>
      <c r="C161" s="517" t="s">
        <v>406</v>
      </c>
      <c r="D161" s="461">
        <f>IF(D175=0,0,1000*(D159/D175))</f>
        <v>0</v>
      </c>
      <c r="E161" s="461">
        <f>IF(E175=0,0,1000*(E159/E175))</f>
        <v>0</v>
      </c>
      <c r="F161" s="461">
        <f>IF(F175=0,0,1000*(F159/F175))</f>
        <v>1531.7866821525354</v>
      </c>
      <c r="G161" s="461">
        <f>IF(G175=0,0,1000*(G159/G175))</f>
        <v>0</v>
      </c>
    </row>
    <row r="162" spans="1:7" ht="12.75">
      <c r="A162" s="518" t="s">
        <v>407</v>
      </c>
      <c r="B162" s="518"/>
      <c r="C162" s="518" t="s">
        <v>408</v>
      </c>
      <c r="D162" s="460">
        <f>IF((D22+D23+D65+D66)=0,0,D158/(D22+D23+D65+D66))</f>
        <v>0</v>
      </c>
      <c r="E162" s="460">
        <f>IF((E22+E23+E65+E66)=0,0,E158/(E22+E23+E65+E66))</f>
        <v>0</v>
      </c>
      <c r="F162" s="460">
        <f>IF((F22+F23+F65+F66)=0,0,F158/(F22+F23+F65+F66))</f>
        <v>0.6152854421357621</v>
      </c>
      <c r="G162" s="460">
        <f>IF((G22+G23+G65+G66)=0,0,G158/(G22+G23+G65+G66))</f>
        <v>0</v>
      </c>
    </row>
    <row r="163" spans="1:7" ht="12.75">
      <c r="A163" s="517" t="s">
        <v>409</v>
      </c>
      <c r="B163" s="517"/>
      <c r="C163" s="517" t="s">
        <v>380</v>
      </c>
      <c r="D163" s="442">
        <f>D145</f>
        <v>0</v>
      </c>
      <c r="E163" s="442">
        <f>E145</f>
        <v>0</v>
      </c>
      <c r="F163" s="442">
        <f>F145</f>
        <v>943967.9</v>
      </c>
      <c r="G163" s="442">
        <f>G145</f>
        <v>0</v>
      </c>
    </row>
    <row r="164" spans="1:7" ht="25.5">
      <c r="A164" s="512" t="s">
        <v>411</v>
      </c>
      <c r="B164" s="514"/>
      <c r="C164" s="514" t="s">
        <v>412</v>
      </c>
      <c r="D164" s="452">
        <f>IF(D178=0,0,D146/D178)</f>
        <v>0</v>
      </c>
      <c r="E164" s="452">
        <f>IF(E178=0,0,E146/E178)</f>
        <v>0</v>
      </c>
      <c r="F164" s="452">
        <f>IF(F178=0,0,F146/F178)</f>
        <v>0.22610818863656948</v>
      </c>
      <c r="G164" s="452">
        <f>IF(G178=0,0,G146/G178)</f>
        <v>0</v>
      </c>
    </row>
    <row r="165" spans="1:7" ht="12.75">
      <c r="A165" s="519" t="s">
        <v>681</v>
      </c>
      <c r="B165" s="519"/>
      <c r="C165" s="519" t="s">
        <v>414</v>
      </c>
      <c r="D165" s="465">
        <f>IF(D177=0,0,D180/D177)</f>
        <v>0</v>
      </c>
      <c r="E165" s="465">
        <f>IF(E177=0,0,E180/E177)</f>
        <v>0.03772965592927916</v>
      </c>
      <c r="F165" s="465">
        <f>IF(F177=0,0,F180/F177)</f>
        <v>0.03561123478630136</v>
      </c>
      <c r="G165" s="465">
        <f>IF(G177=0,0,G180/G177)</f>
        <v>0.0414782377399616</v>
      </c>
    </row>
    <row r="166" spans="1:7" ht="12.75">
      <c r="A166" s="517" t="s">
        <v>415</v>
      </c>
      <c r="B166" s="517"/>
      <c r="C166" s="517" t="s">
        <v>282</v>
      </c>
      <c r="D166" s="442">
        <f>D55</f>
        <v>0</v>
      </c>
      <c r="E166" s="442">
        <f>E55</f>
        <v>38279.7</v>
      </c>
      <c r="F166" s="442">
        <f>F55</f>
        <v>24307.840000000004</v>
      </c>
      <c r="G166" s="442">
        <f>G55</f>
        <v>26601.299999999996</v>
      </c>
    </row>
    <row r="167" spans="1:7" ht="12.75">
      <c r="A167" s="518" t="s">
        <v>416</v>
      </c>
      <c r="B167" s="518"/>
      <c r="C167" s="518" t="s">
        <v>417</v>
      </c>
      <c r="D167" s="460">
        <f>IF(0=D111,0,(D44+D45+D46+D47+D48)/D111)</f>
        <v>0</v>
      </c>
      <c r="E167" s="460">
        <f>IF(0=E111,0,(E44+E45+E46+E47+E48)/E111)</f>
        <v>0</v>
      </c>
      <c r="F167" s="460">
        <f>IF(0=F111,0,(F44+F45+F46+F47+F48)/F111)</f>
        <v>0.01515454328790756</v>
      </c>
      <c r="G167" s="460">
        <f>IF(0=G111,0,(G44+G45+G46+G47+G48)/G111)</f>
        <v>0</v>
      </c>
    </row>
    <row r="168" spans="1:7" ht="12.75">
      <c r="A168" s="517" t="s">
        <v>418</v>
      </c>
      <c r="B168" s="516"/>
      <c r="C168" s="516" t="s">
        <v>419</v>
      </c>
      <c r="D168" s="442">
        <f>D38-D44</f>
        <v>0</v>
      </c>
      <c r="E168" s="442">
        <f>E38-E44</f>
        <v>3116</v>
      </c>
      <c r="F168" s="442">
        <f>F38-F44</f>
        <v>-261.10000000000036</v>
      </c>
      <c r="G168" s="442">
        <f>G38-G44</f>
        <v>5486</v>
      </c>
    </row>
    <row r="169" spans="1:7" ht="12.75">
      <c r="A169" s="518" t="s">
        <v>420</v>
      </c>
      <c r="B169" s="518"/>
      <c r="C169" s="518" t="s">
        <v>421</v>
      </c>
      <c r="D169" s="445">
        <f>IF(D177=0,0,D168/D177)</f>
        <v>0</v>
      </c>
      <c r="E169" s="445">
        <f>IF(E177=0,0,E168/E177)</f>
        <v>0.001771665670199489</v>
      </c>
      <c r="F169" s="445">
        <f>IF(F177=0,0,F168/F177)</f>
        <v>-0.00015153889811406697</v>
      </c>
      <c r="G169" s="445">
        <f>IF(G177=0,0,G168/G177)</f>
        <v>0.003132053149902884</v>
      </c>
    </row>
    <row r="170" spans="1:7" ht="12.75">
      <c r="A170" s="517" t="s">
        <v>422</v>
      </c>
      <c r="B170" s="517"/>
      <c r="C170" s="517" t="s">
        <v>423</v>
      </c>
      <c r="D170" s="442">
        <f>SUM(D82:D87)+SUM(D89:D94)</f>
        <v>0</v>
      </c>
      <c r="E170" s="442">
        <f>SUM(E82:E87)+SUM(E89:E94)</f>
        <v>181749</v>
      </c>
      <c r="F170" s="442">
        <f>SUM(F82:F87)+SUM(F89:F94)</f>
        <v>170433.15099999998</v>
      </c>
      <c r="G170" s="442">
        <f>SUM(G82:G87)+SUM(G89:G94)</f>
        <v>194229</v>
      </c>
    </row>
    <row r="171" spans="1:7" ht="12.75">
      <c r="A171" s="517" t="s">
        <v>424</v>
      </c>
      <c r="B171" s="517"/>
      <c r="C171" s="517" t="s">
        <v>425</v>
      </c>
      <c r="D171" s="461">
        <f>SUM(D96:D102)+SUM(D104:D105)</f>
        <v>0</v>
      </c>
      <c r="E171" s="461">
        <f>SUM(E96:E102)+SUM(E104:E105)</f>
        <v>53127.1</v>
      </c>
      <c r="F171" s="461">
        <f>SUM(F96:F102)+SUM(F104:F105)</f>
        <v>47638.704999999994</v>
      </c>
      <c r="G171" s="461">
        <f>SUM(G96:G102)+SUM(G104:G105)</f>
        <v>56801</v>
      </c>
    </row>
    <row r="172" spans="1:7" ht="12.75">
      <c r="A172" s="519" t="s">
        <v>413</v>
      </c>
      <c r="B172" s="519"/>
      <c r="C172" s="519" t="s">
        <v>426</v>
      </c>
      <c r="D172" s="465">
        <f>IF(D184=0,0,D170/D184)</f>
        <v>0</v>
      </c>
      <c r="E172" s="465">
        <f>IF(E184=0,0,E170/E184)</f>
        <v>0.0926205370262663</v>
      </c>
      <c r="F172" s="465">
        <f>IF(F184=0,0,F170/F184)</f>
        <v>0.09015664527217562</v>
      </c>
      <c r="G172" s="465">
        <f>IF(G184=0,0,G170/G184)</f>
        <v>0.0958614518255351</v>
      </c>
    </row>
    <row r="174" spans="1:7" ht="12.75">
      <c r="A174" s="467" t="s">
        <v>427</v>
      </c>
      <c r="B174" s="468"/>
      <c r="C174" s="467"/>
      <c r="D174" s="364"/>
      <c r="E174" s="364"/>
      <c r="F174" s="364"/>
      <c r="G174" s="364"/>
    </row>
    <row r="175" spans="1:7" s="260" customFormat="1" ht="12.75">
      <c r="A175" s="468" t="s">
        <v>428</v>
      </c>
      <c r="B175" s="468"/>
      <c r="C175" s="468" t="s">
        <v>429</v>
      </c>
      <c r="D175" s="498"/>
      <c r="E175" s="472">
        <v>258500</v>
      </c>
      <c r="F175" s="472">
        <v>258300</v>
      </c>
      <c r="G175" s="472">
        <v>259100</v>
      </c>
    </row>
    <row r="176" spans="1:7" ht="12.75">
      <c r="A176" s="467" t="s">
        <v>430</v>
      </c>
      <c r="B176" s="468"/>
      <c r="C176" s="468"/>
      <c r="D176" s="468"/>
      <c r="E176" s="468"/>
      <c r="F176" s="468"/>
      <c r="G176" s="468"/>
    </row>
    <row r="177" spans="1:7" ht="12.75">
      <c r="A177" s="468" t="s">
        <v>431</v>
      </c>
      <c r="B177" s="468"/>
      <c r="C177" s="468" t="s">
        <v>432</v>
      </c>
      <c r="D177" s="472">
        <f>SUM(D22:D32)+SUM(D44:D53)+SUM(D65:D72)+D75</f>
        <v>0</v>
      </c>
      <c r="E177" s="472">
        <f>SUM(E22:E32)+SUM(E44:E53)+SUM(E65:E72)+E75</f>
        <v>1758796.8499999999</v>
      </c>
      <c r="F177" s="472">
        <f>SUM(F22:F32)+SUM(F44:F53)+SUM(F65:F72)+F75</f>
        <v>1722989.9600000002</v>
      </c>
      <c r="G177" s="472">
        <f>SUM(G22:G32)+SUM(G44:G53)+SUM(G65:G72)+G75</f>
        <v>1751566.7</v>
      </c>
    </row>
    <row r="178" spans="1:7" ht="12.75">
      <c r="A178" s="468" t="s">
        <v>433</v>
      </c>
      <c r="B178" s="468"/>
      <c r="C178" s="468" t="s">
        <v>434</v>
      </c>
      <c r="D178" s="472">
        <f>D78-D17-D20-D59-D63-D64</f>
        <v>0</v>
      </c>
      <c r="E178" s="472">
        <f>E78-E17-E20-E59-E63-E64</f>
        <v>1873091.479</v>
      </c>
      <c r="F178" s="472">
        <f>F78-F17-F20-F59-F63-F64</f>
        <v>1834381.1539999999</v>
      </c>
      <c r="G178" s="472">
        <f>G78-G17-G20-G59-G63-G64</f>
        <v>1899885.9</v>
      </c>
    </row>
    <row r="179" spans="1:7" ht="12.75">
      <c r="A179" s="468"/>
      <c r="B179" s="468"/>
      <c r="C179" s="468" t="s">
        <v>435</v>
      </c>
      <c r="D179" s="472">
        <f>D178+D170</f>
        <v>0</v>
      </c>
      <c r="E179" s="472">
        <f>E178+E170</f>
        <v>2054840.479</v>
      </c>
      <c r="F179" s="472">
        <f>F178+F170</f>
        <v>2004814.305</v>
      </c>
      <c r="G179" s="472">
        <f>G178+G170</f>
        <v>2094114.9</v>
      </c>
    </row>
    <row r="180" spans="1:7" ht="12.75">
      <c r="A180" s="468" t="s">
        <v>436</v>
      </c>
      <c r="B180" s="468"/>
      <c r="C180" s="468" t="s">
        <v>437</v>
      </c>
      <c r="D180" s="472">
        <f>D38-D44+D8+D9+D10+D16-D33</f>
        <v>0</v>
      </c>
      <c r="E180" s="472">
        <f>E38-E44+E8+E9+E10+E16-E33</f>
        <v>66358.8</v>
      </c>
      <c r="F180" s="472">
        <f>F38-F44+F8+F9+F10+F16-F33</f>
        <v>61357.8</v>
      </c>
      <c r="G180" s="472">
        <f>G38-G44+G8+G9+G10+G16-G33</f>
        <v>72651.9</v>
      </c>
    </row>
    <row r="181" spans="1:7" ht="27" customHeight="1">
      <c r="A181" s="473" t="s">
        <v>438</v>
      </c>
      <c r="B181" s="474"/>
      <c r="C181" s="474" t="s">
        <v>439</v>
      </c>
      <c r="D181" s="520">
        <f>D22+D23+D24+D25+D26+D29+SUM(D44:D47)+SUM(D49:D53)-D54+D32-D33+SUM(D65:D70)+D72</f>
        <v>0</v>
      </c>
      <c r="E181" s="475">
        <f>E22+E23+E24+E25+E26+E29+SUM(E44:E47)+SUM(E49:E53)-E54+E32-E33+SUM(E65:E70)+E72</f>
        <v>1749223.35</v>
      </c>
      <c r="F181" s="520">
        <f>F22+F23+F24+F25+F26+F29+SUM(F44:F47)+SUM(F49:F53)-F54+F32-F33+SUM(F65:F70)+F72</f>
        <v>1720825.66</v>
      </c>
      <c r="G181" s="475">
        <f>G22+G23+G24+G25+G26+G29+SUM(G44:G47)+SUM(G49:G53)-G54+G32-G33+SUM(G65:G70)+G72</f>
        <v>1744221.7000000002</v>
      </c>
    </row>
    <row r="182" spans="1:7" ht="12.75">
      <c r="A182" s="474" t="s">
        <v>440</v>
      </c>
      <c r="B182" s="474"/>
      <c r="C182" s="474" t="s">
        <v>441</v>
      </c>
      <c r="D182" s="520">
        <f>D181+D171</f>
        <v>0</v>
      </c>
      <c r="E182" s="475">
        <f>E181+E171</f>
        <v>1802350.4500000002</v>
      </c>
      <c r="F182" s="520">
        <f>F181+F171</f>
        <v>1768464.365</v>
      </c>
      <c r="G182" s="475">
        <f>G181+G171</f>
        <v>1801022.7000000002</v>
      </c>
    </row>
    <row r="183" spans="1:7" ht="12.75">
      <c r="A183" s="474" t="s">
        <v>442</v>
      </c>
      <c r="B183" s="474"/>
      <c r="C183" s="474" t="s">
        <v>443</v>
      </c>
      <c r="D183" s="520">
        <f>D4+D5-D7+D38+D39+D40+D41+D43+D13-D16+D57+D58+D60+D61+D62</f>
        <v>0</v>
      </c>
      <c r="E183" s="475">
        <f>E4+E5-E7+E38+E39+E40+E41+E43+E13-E16+E57+E58+E60+E61+E62</f>
        <v>1780547.979</v>
      </c>
      <c r="F183" s="520">
        <f>F4+F5-F7+F38+F39+F40+F41+F43+F13-F16+F57+F58+F60+F61+F62</f>
        <v>1719978.2599999998</v>
      </c>
      <c r="G183" s="475">
        <f>G4+G5-G7+G38+G39+G40+G41+G43+G13-G16+G57+G58+G60+G61+G62</f>
        <v>1831913.9000000001</v>
      </c>
    </row>
    <row r="184" spans="1:7" ht="12.75">
      <c r="A184" s="474" t="s">
        <v>444</v>
      </c>
      <c r="B184" s="474"/>
      <c r="C184" s="474" t="s">
        <v>445</v>
      </c>
      <c r="D184" s="520">
        <f>D183+D170</f>
        <v>0</v>
      </c>
      <c r="E184" s="475">
        <f>E183+E170</f>
        <v>1962296.979</v>
      </c>
      <c r="F184" s="520">
        <f>F183+F170</f>
        <v>1890411.4109999998</v>
      </c>
      <c r="G184" s="475">
        <f>G183+G170</f>
        <v>2026142.9000000001</v>
      </c>
    </row>
    <row r="185" spans="1:7" ht="12.75">
      <c r="A185" s="474"/>
      <c r="B185" s="474"/>
      <c r="C185" s="474" t="s">
        <v>446</v>
      </c>
      <c r="D185" s="520">
        <f aca="true" t="shared" si="0" ref="D185:G186">D181-D183</f>
        <v>0</v>
      </c>
      <c r="E185" s="475">
        <f t="shared" si="0"/>
        <v>-31324.628999999957</v>
      </c>
      <c r="F185" s="520">
        <f t="shared" si="0"/>
        <v>847.4000000001397</v>
      </c>
      <c r="G185" s="475">
        <f t="shared" si="0"/>
        <v>-87692.19999999995</v>
      </c>
    </row>
    <row r="186" spans="1:7" ht="12.75">
      <c r="A186" s="474"/>
      <c r="B186" s="474"/>
      <c r="C186" s="474" t="s">
        <v>447</v>
      </c>
      <c r="D186" s="520">
        <f t="shared" si="0"/>
        <v>0</v>
      </c>
      <c r="E186" s="475">
        <f t="shared" si="0"/>
        <v>-159946.52899999986</v>
      </c>
      <c r="F186" s="520">
        <f t="shared" si="0"/>
        <v>-121947.04599999986</v>
      </c>
      <c r="G186" s="475">
        <f t="shared" si="0"/>
        <v>-225120.19999999995</v>
      </c>
    </row>
  </sheetData>
  <sheetProtection selectLockedCells="1"/>
  <mergeCells count="2">
    <mergeCell ref="A3:C3"/>
    <mergeCell ref="A81:C8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&amp;LFachgruppe für kantonale Finanzfragen (FkF)
Groupe d'études pour les finances cantonales
&amp;CRechnung 2011 - Budget 2013
Compte 2011 - Budget 2013&amp;RZürich, 12.9.2013</oddHeader>
    <oddFooter>&amp;LQuelle/Source: FkF Sept. 2013</oddFooter>
  </headerFooter>
  <rowBreaks count="2" manualBreakCount="2">
    <brk id="79" max="255" man="1"/>
    <brk id="147" max="255" man="1"/>
  </rowBreaks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1.57421875" style="0" bestFit="1" customWidth="1"/>
    <col min="2" max="2" width="38.28125" style="0" customWidth="1"/>
    <col min="3" max="3" width="12.28125" style="0" bestFit="1" customWidth="1"/>
    <col min="4" max="4" width="8.28125" style="0" customWidth="1"/>
    <col min="5" max="5" width="12.28125" style="0" bestFit="1" customWidth="1"/>
    <col min="6" max="6" width="8.00390625" style="0" customWidth="1"/>
    <col min="7" max="7" width="12.28125" style="0" bestFit="1" customWidth="1"/>
    <col min="8" max="8" width="6.00390625" style="0" customWidth="1"/>
    <col min="9" max="9" width="10.7109375" style="0" customWidth="1"/>
  </cols>
  <sheetData>
    <row r="1" spans="1:9" ht="12.75">
      <c r="A1" s="5" t="s">
        <v>20</v>
      </c>
      <c r="B1" s="6" t="s">
        <v>162</v>
      </c>
      <c r="C1" s="57" t="s">
        <v>22</v>
      </c>
      <c r="D1" s="7" t="s">
        <v>23</v>
      </c>
      <c r="E1" s="57" t="s">
        <v>105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>
        <v>0</v>
      </c>
      <c r="F3" s="134">
        <v>0</v>
      </c>
      <c r="G3" s="135">
        <v>0</v>
      </c>
      <c r="H3" s="134">
        <v>0</v>
      </c>
      <c r="I3" s="115" t="s">
        <v>27</v>
      </c>
    </row>
    <row r="4" spans="1:9" ht="12.75">
      <c r="A4" s="5" t="s">
        <v>28</v>
      </c>
      <c r="B4" s="9" t="s">
        <v>29</v>
      </c>
      <c r="C4" s="10">
        <v>1913338.38</v>
      </c>
      <c r="D4" s="11">
        <v>-0.4245937224130736</v>
      </c>
      <c r="E4" s="10">
        <v>1100946.915</v>
      </c>
      <c r="F4" s="11">
        <v>-0.054113818921051285</v>
      </c>
      <c r="G4" s="10">
        <v>1041370.473</v>
      </c>
      <c r="H4" s="11"/>
      <c r="I4" s="12"/>
    </row>
    <row r="5" spans="1:9" ht="12.75">
      <c r="A5" s="13" t="s">
        <v>30</v>
      </c>
      <c r="B5" s="14" t="s">
        <v>31</v>
      </c>
      <c r="C5" s="15">
        <v>732142.47</v>
      </c>
      <c r="D5" s="16">
        <v>-0.43984925092516486</v>
      </c>
      <c r="E5" s="15">
        <v>410110.153</v>
      </c>
      <c r="F5" s="16">
        <v>0.15968541749318757</v>
      </c>
      <c r="G5" s="15">
        <v>475598.764</v>
      </c>
      <c r="H5" s="16"/>
      <c r="I5" s="17"/>
    </row>
    <row r="6" spans="1:9" ht="12.75">
      <c r="A6" s="13" t="s">
        <v>32</v>
      </c>
      <c r="B6" s="14" t="s">
        <v>33</v>
      </c>
      <c r="C6" s="15">
        <v>86828</v>
      </c>
      <c r="D6" s="16">
        <v>-0.38700312111300506</v>
      </c>
      <c r="E6" s="15">
        <v>53225.293</v>
      </c>
      <c r="F6" s="16">
        <v>0.5902075541415998</v>
      </c>
      <c r="G6" s="15">
        <v>84639.263</v>
      </c>
      <c r="H6" s="16"/>
      <c r="I6" s="17"/>
    </row>
    <row r="7" spans="1:9" ht="12.75">
      <c r="A7" s="13" t="s">
        <v>34</v>
      </c>
      <c r="B7" s="14" t="s">
        <v>35</v>
      </c>
      <c r="C7" s="15">
        <v>70395.48</v>
      </c>
      <c r="D7" s="16">
        <v>-0.004627697687408343</v>
      </c>
      <c r="E7" s="15">
        <v>70069.711</v>
      </c>
      <c r="F7" s="16">
        <v>-0.16389218445613393</v>
      </c>
      <c r="G7" s="15">
        <v>58585.833</v>
      </c>
      <c r="H7" s="16"/>
      <c r="I7" s="17"/>
    </row>
    <row r="8" spans="1:9" ht="12.75">
      <c r="A8" s="13" t="s">
        <v>36</v>
      </c>
      <c r="B8" s="14" t="s">
        <v>37</v>
      </c>
      <c r="C8" s="15">
        <v>65251.64</v>
      </c>
      <c r="D8" s="16">
        <v>-0.08602263483339273</v>
      </c>
      <c r="E8" s="15">
        <v>59638.522</v>
      </c>
      <c r="F8" s="16">
        <v>-0.03619358642053536</v>
      </c>
      <c r="G8" s="15">
        <v>57479.99</v>
      </c>
      <c r="H8" s="16"/>
      <c r="I8" s="17"/>
    </row>
    <row r="9" spans="1:9" ht="12.75">
      <c r="A9" s="13" t="s">
        <v>38</v>
      </c>
      <c r="B9" s="14" t="s">
        <v>39</v>
      </c>
      <c r="C9" s="15">
        <v>172296.27</v>
      </c>
      <c r="D9" s="16">
        <v>-0.3326964187907259</v>
      </c>
      <c r="E9" s="15">
        <v>114973.918</v>
      </c>
      <c r="F9" s="16">
        <v>0.04708320890656262</v>
      </c>
      <c r="G9" s="15">
        <v>120387.259</v>
      </c>
      <c r="H9" s="16"/>
      <c r="I9" s="17"/>
    </row>
    <row r="10" spans="1:9" ht="12.75">
      <c r="A10" s="13" t="s">
        <v>40</v>
      </c>
      <c r="B10" s="14" t="s">
        <v>41</v>
      </c>
      <c r="C10" s="15">
        <v>1384906</v>
      </c>
      <c r="D10" s="16">
        <v>0.26945230362205086</v>
      </c>
      <c r="E10" s="15">
        <v>1758072.112</v>
      </c>
      <c r="F10" s="16">
        <v>-0.0009209269568345589</v>
      </c>
      <c r="G10" s="15">
        <v>1756453.056</v>
      </c>
      <c r="H10" s="16"/>
      <c r="I10" s="17"/>
    </row>
    <row r="11" spans="1:9" ht="12.75">
      <c r="A11" s="13" t="s">
        <v>42</v>
      </c>
      <c r="B11" s="14" t="s">
        <v>43</v>
      </c>
      <c r="C11" s="15">
        <v>289203</v>
      </c>
      <c r="D11" s="43">
        <v>0.990675975007175</v>
      </c>
      <c r="E11" s="15">
        <v>575709.464</v>
      </c>
      <c r="F11" s="16">
        <v>-0.033107359166150666</v>
      </c>
      <c r="G11" s="15">
        <v>556649.244</v>
      </c>
      <c r="H11" s="16"/>
      <c r="I11" s="17"/>
    </row>
    <row r="12" spans="1:9" ht="12.75">
      <c r="A12" s="13" t="s">
        <v>44</v>
      </c>
      <c r="B12" s="14" t="s">
        <v>45</v>
      </c>
      <c r="C12" s="15">
        <v>0</v>
      </c>
      <c r="D12" s="43" t="s">
        <v>48</v>
      </c>
      <c r="E12" s="15">
        <v>0</v>
      </c>
      <c r="F12" s="16" t="s">
        <v>48</v>
      </c>
      <c r="G12" s="15">
        <v>0</v>
      </c>
      <c r="H12" s="16"/>
      <c r="I12" s="17"/>
    </row>
    <row r="13" spans="1:9" ht="12.75">
      <c r="A13" s="13" t="s">
        <v>46</v>
      </c>
      <c r="B13" s="14" t="s">
        <v>47</v>
      </c>
      <c r="C13" s="15">
        <v>227827</v>
      </c>
      <c r="D13" s="43">
        <v>0.25661472520816225</v>
      </c>
      <c r="E13" s="15">
        <v>286290.763</v>
      </c>
      <c r="F13" s="43">
        <v>0.028765996198068095</v>
      </c>
      <c r="G13" s="15">
        <v>294526.202</v>
      </c>
      <c r="H13" s="43"/>
      <c r="I13" s="17"/>
    </row>
    <row r="14" spans="1:9" ht="12.75">
      <c r="A14" s="13" t="s">
        <v>49</v>
      </c>
      <c r="B14" s="14" t="s">
        <v>50</v>
      </c>
      <c r="C14" s="15">
        <v>0</v>
      </c>
      <c r="D14" s="43" t="s">
        <v>48</v>
      </c>
      <c r="E14" s="15">
        <v>0</v>
      </c>
      <c r="F14" s="16" t="s">
        <v>48</v>
      </c>
      <c r="G14" s="15">
        <v>0</v>
      </c>
      <c r="H14" s="16"/>
      <c r="I14" s="17"/>
    </row>
    <row r="15" spans="1:9" ht="12.75">
      <c r="A15" s="13" t="s">
        <v>51</v>
      </c>
      <c r="B15" s="14" t="s">
        <v>52</v>
      </c>
      <c r="C15" s="15">
        <v>0</v>
      </c>
      <c r="D15" s="43" t="s">
        <v>48</v>
      </c>
      <c r="E15" s="15">
        <v>0</v>
      </c>
      <c r="F15" s="16" t="s">
        <v>48</v>
      </c>
      <c r="G15" s="15">
        <v>0</v>
      </c>
      <c r="H15" s="16"/>
      <c r="I15" s="17"/>
    </row>
    <row r="16" spans="1:9" ht="12.75">
      <c r="A16" s="13" t="s">
        <v>53</v>
      </c>
      <c r="B16" s="14" t="s">
        <v>54</v>
      </c>
      <c r="C16" s="15">
        <v>0</v>
      </c>
      <c r="D16" s="43" t="s">
        <v>48</v>
      </c>
      <c r="E16" s="15">
        <v>0</v>
      </c>
      <c r="F16" s="43" t="s">
        <v>48</v>
      </c>
      <c r="G16" s="15">
        <v>0</v>
      </c>
      <c r="H16" s="43"/>
      <c r="I16" s="17"/>
    </row>
    <row r="17" spans="1:9" ht="12.75">
      <c r="A17" s="13" t="s">
        <v>55</v>
      </c>
      <c r="B17" s="14" t="s">
        <v>56</v>
      </c>
      <c r="C17" s="15">
        <v>74128.24</v>
      </c>
      <c r="D17" s="16">
        <v>-0.050504908790496184</v>
      </c>
      <c r="E17" s="15">
        <v>70384.4</v>
      </c>
      <c r="F17" s="16">
        <v>0.27219311381499317</v>
      </c>
      <c r="G17" s="15">
        <v>89542.549</v>
      </c>
      <c r="H17" s="16"/>
      <c r="I17" s="17"/>
    </row>
    <row r="18" spans="1:9" ht="12.75">
      <c r="A18" s="13">
        <v>389</v>
      </c>
      <c r="B18" s="14" t="s">
        <v>57</v>
      </c>
      <c r="C18" s="15">
        <v>0</v>
      </c>
      <c r="D18" s="43" t="s">
        <v>48</v>
      </c>
      <c r="E18" s="15">
        <v>0</v>
      </c>
      <c r="F18" s="43" t="s">
        <v>48</v>
      </c>
      <c r="G18" s="15">
        <v>0</v>
      </c>
      <c r="H18" s="43"/>
      <c r="I18" s="17"/>
    </row>
    <row r="19" spans="1:9" ht="12.75">
      <c r="A19" s="18" t="s">
        <v>58</v>
      </c>
      <c r="B19" s="19" t="s">
        <v>59</v>
      </c>
      <c r="C19" s="20">
        <v>275920.1</v>
      </c>
      <c r="D19" s="43">
        <v>-0.21260018751805318</v>
      </c>
      <c r="E19" s="20">
        <v>217259.435</v>
      </c>
      <c r="F19" s="43">
        <v>0.1047029096803092</v>
      </c>
      <c r="G19" s="20">
        <v>240007.13</v>
      </c>
      <c r="H19" s="43"/>
      <c r="I19" s="21"/>
    </row>
    <row r="20" spans="1:9" ht="12.75">
      <c r="A20" s="22" t="s">
        <v>60</v>
      </c>
      <c r="B20" s="23" t="s">
        <v>61</v>
      </c>
      <c r="C20" s="24">
        <v>4688378.58</v>
      </c>
      <c r="D20" s="25">
        <v>-0.18917487119822143</v>
      </c>
      <c r="E20" s="24">
        <v>3801455.1659999997</v>
      </c>
      <c r="F20" s="25">
        <v>0.009988250904443453</v>
      </c>
      <c r="G20" s="24">
        <v>3839425.0540000005</v>
      </c>
      <c r="H20" s="25"/>
      <c r="I20" s="26"/>
    </row>
    <row r="21" spans="1:9" ht="12.75">
      <c r="A21" s="27" t="s">
        <v>62</v>
      </c>
      <c r="B21" s="28" t="s">
        <v>63</v>
      </c>
      <c r="C21" s="10">
        <v>2529870.9</v>
      </c>
      <c r="D21" s="16">
        <v>-0.026155840600403723</v>
      </c>
      <c r="E21" s="10">
        <v>2463700</v>
      </c>
      <c r="F21" s="16">
        <v>-0.00435273450501276</v>
      </c>
      <c r="G21" s="10">
        <v>2452976.168</v>
      </c>
      <c r="H21" s="16"/>
      <c r="I21" s="12"/>
    </row>
    <row r="22" spans="1:9" ht="12.75">
      <c r="A22" s="8" t="s">
        <v>64</v>
      </c>
      <c r="B22" s="29" t="s">
        <v>65</v>
      </c>
      <c r="C22" s="15">
        <v>72076.6</v>
      </c>
      <c r="D22" s="16">
        <v>-0.11993629000258066</v>
      </c>
      <c r="E22" s="15">
        <v>63432</v>
      </c>
      <c r="F22" s="16">
        <v>-0.07090884726951695</v>
      </c>
      <c r="G22" s="15">
        <v>58934.11</v>
      </c>
      <c r="H22" s="16"/>
      <c r="I22" s="17"/>
    </row>
    <row r="23" spans="1:9" ht="12.75">
      <c r="A23" s="8" t="s">
        <v>66</v>
      </c>
      <c r="B23" s="29" t="s">
        <v>67</v>
      </c>
      <c r="C23" s="15">
        <v>265197.26</v>
      </c>
      <c r="D23" s="16">
        <v>-0.16762122655415068</v>
      </c>
      <c r="E23" s="15">
        <v>220744.57</v>
      </c>
      <c r="F23" s="16">
        <v>0.16759051423099555</v>
      </c>
      <c r="G23" s="15">
        <v>257739.266</v>
      </c>
      <c r="H23" s="16"/>
      <c r="I23" s="17"/>
    </row>
    <row r="24" spans="1:9" ht="12.75">
      <c r="A24" s="8" t="s">
        <v>68</v>
      </c>
      <c r="B24" s="29" t="s">
        <v>69</v>
      </c>
      <c r="C24" s="15">
        <v>1197449.74</v>
      </c>
      <c r="D24" s="16">
        <v>-0.6594099865936753</v>
      </c>
      <c r="E24" s="15">
        <v>407839.42299999995</v>
      </c>
      <c r="F24" s="16">
        <v>0.21128196329367618</v>
      </c>
      <c r="G24" s="15">
        <v>494008.537</v>
      </c>
      <c r="H24" s="16"/>
      <c r="I24" s="17"/>
    </row>
    <row r="25" spans="1:9" ht="12.75">
      <c r="A25" s="8" t="s">
        <v>70</v>
      </c>
      <c r="B25" s="29" t="s">
        <v>71</v>
      </c>
      <c r="C25" s="15">
        <v>551045.68</v>
      </c>
      <c r="D25" s="16">
        <v>-0.11249061057878192</v>
      </c>
      <c r="E25" s="15">
        <v>489058.21499999997</v>
      </c>
      <c r="F25" s="16">
        <v>0.02241999963133235</v>
      </c>
      <c r="G25" s="15">
        <v>500022.9</v>
      </c>
      <c r="H25" s="16"/>
      <c r="I25" s="17"/>
    </row>
    <row r="26" spans="1:9" ht="12.75">
      <c r="A26" s="59" t="s">
        <v>72</v>
      </c>
      <c r="B26" s="29" t="s">
        <v>73</v>
      </c>
      <c r="C26" s="15">
        <v>14153.2</v>
      </c>
      <c r="D26" s="16">
        <v>0.21624848090891105</v>
      </c>
      <c r="E26" s="15">
        <v>17213.808</v>
      </c>
      <c r="F26" s="16">
        <v>0.08928407938557222</v>
      </c>
      <c r="G26" s="15">
        <v>18750.727</v>
      </c>
      <c r="H26" s="16"/>
      <c r="I26" s="17"/>
    </row>
    <row r="27" spans="1:9" ht="12.75">
      <c r="A27" s="195">
        <v>489</v>
      </c>
      <c r="B27" s="29" t="s">
        <v>74</v>
      </c>
      <c r="C27" s="15">
        <v>0</v>
      </c>
      <c r="D27" s="16" t="s">
        <v>48</v>
      </c>
      <c r="E27" s="15">
        <v>0</v>
      </c>
      <c r="F27" s="16" t="s">
        <v>48</v>
      </c>
      <c r="G27" s="15">
        <v>0</v>
      </c>
      <c r="H27" s="16"/>
      <c r="I27" s="17"/>
    </row>
    <row r="28" spans="1:9" ht="12.75">
      <c r="A28" s="30" t="s">
        <v>75</v>
      </c>
      <c r="B28" s="31" t="s">
        <v>76</v>
      </c>
      <c r="C28" s="20">
        <v>275920.1</v>
      </c>
      <c r="D28" s="16">
        <v>-0.2124651484252143</v>
      </c>
      <c r="E28" s="20">
        <v>217296.695</v>
      </c>
      <c r="F28" s="16">
        <v>0.10451348558246593</v>
      </c>
      <c r="G28" s="20">
        <v>240007.13</v>
      </c>
      <c r="H28" s="16"/>
      <c r="I28" s="21"/>
    </row>
    <row r="29" spans="1:9" ht="12.75">
      <c r="A29" s="51" t="s">
        <v>77</v>
      </c>
      <c r="B29" s="52" t="s">
        <v>78</v>
      </c>
      <c r="C29" s="24">
        <v>4905713.4799999995</v>
      </c>
      <c r="D29" s="53">
        <v>-0.20923129187724188</v>
      </c>
      <c r="E29" s="24">
        <v>3879284.7109999997</v>
      </c>
      <c r="F29" s="53">
        <v>0.036902196581260385</v>
      </c>
      <c r="G29" s="24">
        <v>4022438.8379999995</v>
      </c>
      <c r="H29" s="54"/>
      <c r="I29" s="26"/>
    </row>
    <row r="30" spans="1:9" ht="12.75">
      <c r="A30" s="50" t="s">
        <v>79</v>
      </c>
      <c r="B30" s="32" t="s">
        <v>80</v>
      </c>
      <c r="C30" s="33">
        <v>217334.89999999944</v>
      </c>
      <c r="D30" s="136">
        <v>0</v>
      </c>
      <c r="E30" s="33">
        <v>77829.54499999993</v>
      </c>
      <c r="F30" s="136">
        <v>0</v>
      </c>
      <c r="G30" s="34">
        <v>183013.78399999905</v>
      </c>
      <c r="H30" s="137"/>
      <c r="I30" s="35"/>
    </row>
    <row r="31" spans="1:9" ht="12.75">
      <c r="A31" s="140">
        <v>0</v>
      </c>
      <c r="B31" s="28" t="s">
        <v>81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/>
      <c r="I31" s="139"/>
    </row>
    <row r="32" spans="1:9" ht="12.75">
      <c r="A32" s="59" t="s">
        <v>82</v>
      </c>
      <c r="B32" s="29" t="s">
        <v>83</v>
      </c>
      <c r="C32" s="15">
        <v>294672</v>
      </c>
      <c r="D32" s="16">
        <v>-0.0577659227887278</v>
      </c>
      <c r="E32" s="15">
        <v>277650</v>
      </c>
      <c r="F32" s="16">
        <v>-0.09714849630830182</v>
      </c>
      <c r="G32" s="15">
        <v>250676.72</v>
      </c>
      <c r="H32" s="16"/>
      <c r="I32" s="17"/>
    </row>
    <row r="33" spans="1:9" ht="12.75">
      <c r="A33" s="59" t="s">
        <v>84</v>
      </c>
      <c r="B33" s="29" t="s">
        <v>85</v>
      </c>
      <c r="C33" s="15">
        <v>35905</v>
      </c>
      <c r="D33" s="16">
        <v>0.6710764517476675</v>
      </c>
      <c r="E33" s="15">
        <v>60000</v>
      </c>
      <c r="F33" s="16">
        <v>5.1152136</v>
      </c>
      <c r="G33" s="15">
        <v>366912.816</v>
      </c>
      <c r="H33" s="16"/>
      <c r="I33" s="17"/>
    </row>
    <row r="34" spans="1:9" ht="12.75">
      <c r="A34" s="8" t="s">
        <v>86</v>
      </c>
      <c r="B34" s="29" t="s">
        <v>87</v>
      </c>
      <c r="C34" s="15">
        <v>17300.35</v>
      </c>
      <c r="D34" s="16">
        <v>-1</v>
      </c>
      <c r="E34" s="15">
        <v>0</v>
      </c>
      <c r="F34" s="16" t="s">
        <v>48</v>
      </c>
      <c r="G34" s="15">
        <v>6249.91</v>
      </c>
      <c r="H34" s="16"/>
      <c r="I34" s="17"/>
    </row>
    <row r="35" spans="1:9" ht="12.75">
      <c r="A35" s="51" t="s">
        <v>88</v>
      </c>
      <c r="B35" s="52" t="s">
        <v>89</v>
      </c>
      <c r="C35" s="24">
        <v>347877.35</v>
      </c>
      <c r="D35" s="54">
        <v>-0.029399298344660776</v>
      </c>
      <c r="E35" s="24">
        <v>337650</v>
      </c>
      <c r="F35" s="54">
        <v>0.847592021323856</v>
      </c>
      <c r="G35" s="24">
        <v>623839.446</v>
      </c>
      <c r="H35" s="54"/>
      <c r="I35" s="26"/>
    </row>
    <row r="36" spans="1:9" ht="12.75">
      <c r="A36" s="8" t="s">
        <v>90</v>
      </c>
      <c r="B36" s="29" t="s">
        <v>91</v>
      </c>
      <c r="C36" s="15">
        <v>4624</v>
      </c>
      <c r="D36" s="16">
        <v>-1</v>
      </c>
      <c r="E36" s="15">
        <v>0</v>
      </c>
      <c r="F36" s="16" t="s">
        <v>48</v>
      </c>
      <c r="G36" s="15">
        <v>6773.339</v>
      </c>
      <c r="H36" s="16"/>
      <c r="I36" s="17"/>
    </row>
    <row r="37" spans="1:9" ht="12.75">
      <c r="A37" s="8" t="s">
        <v>92</v>
      </c>
      <c r="B37" s="29" t="s">
        <v>93</v>
      </c>
      <c r="C37" s="15">
        <v>16820.4</v>
      </c>
      <c r="D37" s="16">
        <v>0.7389598344866946</v>
      </c>
      <c r="E37" s="15">
        <v>29250</v>
      </c>
      <c r="F37" s="16">
        <v>0.5121354871794871</v>
      </c>
      <c r="G37" s="15">
        <v>44229.962999999996</v>
      </c>
      <c r="H37" s="16"/>
      <c r="I37" s="17"/>
    </row>
    <row r="38" spans="1:9" ht="12.75">
      <c r="A38" s="51" t="s">
        <v>94</v>
      </c>
      <c r="B38" s="52" t="s">
        <v>95</v>
      </c>
      <c r="C38" s="24">
        <v>21444.4</v>
      </c>
      <c r="D38" s="54">
        <v>0.3639924642330864</v>
      </c>
      <c r="E38" s="24">
        <v>29250</v>
      </c>
      <c r="F38" s="54">
        <v>0.7437026324786323</v>
      </c>
      <c r="G38" s="24">
        <v>51003.301999999996</v>
      </c>
      <c r="H38" s="54"/>
      <c r="I38" s="26"/>
    </row>
    <row r="39" spans="1:9" ht="12.75">
      <c r="A39" s="36" t="s">
        <v>96</v>
      </c>
      <c r="B39" s="37" t="s">
        <v>3</v>
      </c>
      <c r="C39" s="38">
        <v>326432.94999999995</v>
      </c>
      <c r="D39" s="39">
        <v>-0.055242431868473926</v>
      </c>
      <c r="E39" s="38">
        <v>308400</v>
      </c>
      <c r="F39" s="39">
        <v>0.8574453437094681</v>
      </c>
      <c r="G39" s="38">
        <v>572836.144</v>
      </c>
      <c r="H39" s="39"/>
      <c r="I39" s="40"/>
    </row>
    <row r="40" spans="1:9" ht="12.75">
      <c r="A40" s="131" t="s">
        <v>0</v>
      </c>
      <c r="B40" s="29" t="s">
        <v>97</v>
      </c>
      <c r="C40" s="15">
        <v>389631.16999999946</v>
      </c>
      <c r="D40" s="16">
        <v>-0.5051641710287188</v>
      </c>
      <c r="E40" s="15">
        <v>192803.46299999993</v>
      </c>
      <c r="F40" s="16">
        <v>0.5736285971170506</v>
      </c>
      <c r="G40" s="15">
        <v>303401.0429999991</v>
      </c>
      <c r="H40" s="16"/>
      <c r="I40" s="17"/>
    </row>
    <row r="41" spans="1:9" ht="12.75">
      <c r="A41" s="131" t="s">
        <v>0</v>
      </c>
      <c r="B41" s="29" t="s">
        <v>98</v>
      </c>
      <c r="C41" s="15">
        <v>63198.21999999951</v>
      </c>
      <c r="D41" s="16">
        <v>-2.8291106458378255</v>
      </c>
      <c r="E41" s="15">
        <v>-115596.53700000007</v>
      </c>
      <c r="F41" s="16">
        <v>1.330823292742764</v>
      </c>
      <c r="G41" s="15">
        <v>-269435.1010000009</v>
      </c>
      <c r="H41" s="16"/>
      <c r="I41" s="17"/>
    </row>
    <row r="42" spans="1:9" ht="12.75">
      <c r="A42" s="141" t="s">
        <v>0</v>
      </c>
      <c r="B42" s="31" t="s">
        <v>99</v>
      </c>
      <c r="C42" s="20">
        <v>4448659.680000001</v>
      </c>
      <c r="D42" s="129">
        <v>-0.1734928820178937</v>
      </c>
      <c r="E42" s="20">
        <v>3676848.891</v>
      </c>
      <c r="F42" s="129">
        <v>0.07587983332220133</v>
      </c>
      <c r="G42" s="20">
        <v>3955847.5720000006</v>
      </c>
      <c r="H42" s="129"/>
      <c r="I42" s="21"/>
    </row>
    <row r="43" spans="1:9" ht="12.75">
      <c r="A43" s="141">
        <v>0</v>
      </c>
      <c r="B43" s="31" t="s">
        <v>5</v>
      </c>
      <c r="C43" s="66">
        <v>1.1936024534287961</v>
      </c>
      <c r="D43" s="142">
        <v>0</v>
      </c>
      <c r="E43" s="41">
        <v>0.6251733560311282</v>
      </c>
      <c r="F43" s="142">
        <v>0</v>
      </c>
      <c r="G43" s="41">
        <v>0.5296471707972378</v>
      </c>
      <c r="H43" s="142"/>
      <c r="I43" s="4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89"/>
  <sheetViews>
    <sheetView zoomScale="115" zoomScaleNormal="115" zoomScalePageLayoutView="0" workbookViewId="0" topLeftCell="A1">
      <selection activeCell="A1" sqref="A1:G186"/>
    </sheetView>
  </sheetViews>
  <sheetFormatPr defaultColWidth="11.421875" defaultRowHeight="12.75"/>
  <cols>
    <col min="1" max="1" width="16.7109375" style="252" customWidth="1"/>
    <col min="2" max="2" width="3.7109375" style="252" customWidth="1"/>
    <col min="3" max="3" width="39.7109375" style="252" customWidth="1"/>
    <col min="4" max="4" width="12.7109375" style="252" customWidth="1"/>
    <col min="5" max="5" width="11.421875" style="252" customWidth="1"/>
    <col min="6" max="6" width="12.7109375" style="252" customWidth="1"/>
    <col min="7" max="16384" width="11.421875" style="252" customWidth="1"/>
  </cols>
  <sheetData>
    <row r="1" spans="1:55" s="243" customFormat="1" ht="18" customHeight="1">
      <c r="A1" s="476" t="s">
        <v>220</v>
      </c>
      <c r="B1" s="476" t="s">
        <v>673</v>
      </c>
      <c r="C1" s="476" t="s">
        <v>674</v>
      </c>
      <c r="D1" s="241" t="s">
        <v>22</v>
      </c>
      <c r="E1" s="240" t="s">
        <v>105</v>
      </c>
      <c r="F1" s="241" t="s">
        <v>22</v>
      </c>
      <c r="G1" s="240" t="s">
        <v>105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7" s="249" customFormat="1" ht="15" customHeight="1">
      <c r="A2" s="244"/>
      <c r="B2" s="245"/>
      <c r="C2" s="246" t="s">
        <v>222</v>
      </c>
      <c r="D2" s="248">
        <v>2011</v>
      </c>
      <c r="E2" s="247">
        <v>2012</v>
      </c>
      <c r="F2" s="248">
        <v>2012</v>
      </c>
      <c r="G2" s="247">
        <v>2013</v>
      </c>
    </row>
    <row r="3" spans="1:7" ht="15" customHeight="1">
      <c r="A3" s="609" t="s">
        <v>223</v>
      </c>
      <c r="B3" s="610"/>
      <c r="C3" s="610"/>
      <c r="D3" s="250"/>
      <c r="F3" s="250"/>
      <c r="G3" s="253" t="s">
        <v>103</v>
      </c>
    </row>
    <row r="4" spans="1:7" s="260" customFormat="1" ht="12.75" customHeight="1">
      <c r="A4" s="479">
        <v>30</v>
      </c>
      <c r="B4" s="480"/>
      <c r="C4" s="256" t="s">
        <v>29</v>
      </c>
      <c r="D4" s="257"/>
      <c r="E4" s="257"/>
      <c r="F4" s="258"/>
      <c r="G4" s="259">
        <v>1180026.645</v>
      </c>
    </row>
    <row r="5" spans="1:7" s="260" customFormat="1" ht="12.75" customHeight="1">
      <c r="A5" s="261">
        <v>31</v>
      </c>
      <c r="B5" s="262"/>
      <c r="C5" s="263" t="s">
        <v>224</v>
      </c>
      <c r="D5" s="264"/>
      <c r="E5" s="264"/>
      <c r="F5" s="266"/>
      <c r="G5" s="267">
        <v>436528.245</v>
      </c>
    </row>
    <row r="6" spans="1:7" s="260" customFormat="1" ht="12.75" customHeight="1">
      <c r="A6" s="268" t="s">
        <v>32</v>
      </c>
      <c r="B6" s="269"/>
      <c r="C6" s="270" t="s">
        <v>225</v>
      </c>
      <c r="D6" s="271"/>
      <c r="E6" s="271"/>
      <c r="F6" s="272"/>
      <c r="G6" s="273">
        <v>49732.562</v>
      </c>
    </row>
    <row r="7" spans="1:7" s="260" customFormat="1" ht="12.75" customHeight="1">
      <c r="A7" s="268" t="s">
        <v>226</v>
      </c>
      <c r="B7" s="269"/>
      <c r="C7" s="270" t="s">
        <v>227</v>
      </c>
      <c r="D7" s="271"/>
      <c r="E7" s="271"/>
      <c r="F7" s="272"/>
      <c r="G7" s="273">
        <v>0</v>
      </c>
    </row>
    <row r="8" spans="1:7" s="260" customFormat="1" ht="12.75" customHeight="1">
      <c r="A8" s="274">
        <v>330</v>
      </c>
      <c r="B8" s="262"/>
      <c r="C8" s="263" t="s">
        <v>228</v>
      </c>
      <c r="D8" s="275"/>
      <c r="E8" s="275"/>
      <c r="F8" s="266"/>
      <c r="G8" s="276">
        <v>122740.737</v>
      </c>
    </row>
    <row r="9" spans="1:7" s="260" customFormat="1" ht="12.75" customHeight="1">
      <c r="A9" s="274">
        <v>332</v>
      </c>
      <c r="B9" s="262"/>
      <c r="C9" s="263" t="s">
        <v>229</v>
      </c>
      <c r="D9" s="275"/>
      <c r="E9" s="275"/>
      <c r="F9" s="266"/>
      <c r="G9" s="276">
        <v>5422.016</v>
      </c>
    </row>
    <row r="10" spans="1:7" s="260" customFormat="1" ht="12.75" customHeight="1">
      <c r="A10" s="274">
        <v>339</v>
      </c>
      <c r="B10" s="262"/>
      <c r="C10" s="263" t="s">
        <v>230</v>
      </c>
      <c r="D10" s="275">
        <v>0</v>
      </c>
      <c r="E10" s="275"/>
      <c r="F10" s="266"/>
      <c r="G10" s="276">
        <v>0</v>
      </c>
    </row>
    <row r="11" spans="1:7" s="260" customFormat="1" ht="12.75" customHeight="1">
      <c r="A11" s="261">
        <v>350</v>
      </c>
      <c r="B11" s="262"/>
      <c r="C11" s="263" t="s">
        <v>231</v>
      </c>
      <c r="D11" s="275">
        <v>0</v>
      </c>
      <c r="E11" s="275"/>
      <c r="F11" s="275"/>
      <c r="G11" s="277">
        <v>0</v>
      </c>
    </row>
    <row r="12" spans="1:7" s="285" customFormat="1" ht="25.5">
      <c r="A12" s="278">
        <v>351</v>
      </c>
      <c r="B12" s="279"/>
      <c r="C12" s="280" t="s">
        <v>232</v>
      </c>
      <c r="D12" s="346"/>
      <c r="E12" s="282"/>
      <c r="F12" s="283"/>
      <c r="G12" s="482">
        <v>0</v>
      </c>
    </row>
    <row r="13" spans="1:7" s="260" customFormat="1" ht="12.75" customHeight="1">
      <c r="A13" s="261">
        <v>36</v>
      </c>
      <c r="B13" s="262"/>
      <c r="C13" s="263" t="s">
        <v>233</v>
      </c>
      <c r="D13" s="275"/>
      <c r="E13" s="264"/>
      <c r="F13" s="286"/>
      <c r="G13" s="276">
        <v>1813092.092</v>
      </c>
    </row>
    <row r="14" spans="1:7" s="260" customFormat="1" ht="12.75" customHeight="1">
      <c r="A14" s="287" t="s">
        <v>234</v>
      </c>
      <c r="B14" s="262"/>
      <c r="C14" s="288" t="s">
        <v>235</v>
      </c>
      <c r="D14" s="271"/>
      <c r="E14" s="323"/>
      <c r="F14" s="286"/>
      <c r="G14" s="276">
        <v>303529.7</v>
      </c>
    </row>
    <row r="15" spans="1:7" s="260" customFormat="1" ht="12.75" customHeight="1">
      <c r="A15" s="287" t="s">
        <v>236</v>
      </c>
      <c r="B15" s="262"/>
      <c r="C15" s="288" t="s">
        <v>237</v>
      </c>
      <c r="D15" s="271"/>
      <c r="E15" s="323"/>
      <c r="F15" s="286"/>
      <c r="G15" s="276">
        <v>12248.5</v>
      </c>
    </row>
    <row r="16" spans="1:7" s="297" customFormat="1" ht="26.25" customHeight="1">
      <c r="A16" s="287" t="s">
        <v>238</v>
      </c>
      <c r="B16" s="483"/>
      <c r="C16" s="288" t="s">
        <v>239</v>
      </c>
      <c r="D16" s="293"/>
      <c r="E16" s="294"/>
      <c r="F16" s="295"/>
      <c r="G16" s="296">
        <v>6874.771</v>
      </c>
    </row>
    <row r="17" spans="1:7" s="299" customFormat="1" ht="12.75">
      <c r="A17" s="261">
        <v>37</v>
      </c>
      <c r="B17" s="262"/>
      <c r="C17" s="263" t="s">
        <v>240</v>
      </c>
      <c r="D17" s="316"/>
      <c r="E17" s="264"/>
      <c r="F17" s="286"/>
      <c r="G17" s="298">
        <v>0</v>
      </c>
    </row>
    <row r="18" spans="1:7" s="299" customFormat="1" ht="12.75">
      <c r="A18" s="322" t="s">
        <v>241</v>
      </c>
      <c r="B18" s="269"/>
      <c r="C18" s="270" t="s">
        <v>242</v>
      </c>
      <c r="D18" s="485"/>
      <c r="E18" s="323"/>
      <c r="F18" s="286"/>
      <c r="G18" s="298">
        <v>0</v>
      </c>
    </row>
    <row r="19" spans="1:7" s="299" customFormat="1" ht="12.75">
      <c r="A19" s="322" t="s">
        <v>243</v>
      </c>
      <c r="B19" s="269"/>
      <c r="C19" s="270" t="s">
        <v>244</v>
      </c>
      <c r="D19" s="485"/>
      <c r="E19" s="323"/>
      <c r="F19" s="286"/>
      <c r="G19" s="298">
        <v>0</v>
      </c>
    </row>
    <row r="20" spans="1:7" s="260" customFormat="1" ht="12.75" customHeight="1">
      <c r="A20" s="301">
        <v>39</v>
      </c>
      <c r="B20" s="302"/>
      <c r="C20" s="303" t="s">
        <v>245</v>
      </c>
      <c r="D20" s="306"/>
      <c r="E20" s="304"/>
      <c r="F20" s="307">
        <v>0</v>
      </c>
      <c r="G20" s="308">
        <v>211037.39</v>
      </c>
    </row>
    <row r="21" spans="1:7" ht="12.75" customHeight="1">
      <c r="A21" s="309"/>
      <c r="B21" s="309"/>
      <c r="C21" s="310" t="s">
        <v>246</v>
      </c>
      <c r="D21" s="311">
        <f>D4+D5+SUM(D8:D13)+D17</f>
        <v>0</v>
      </c>
      <c r="E21" s="311">
        <f>E4+E5+SUM(E8:E13)+E17</f>
        <v>0</v>
      </c>
      <c r="F21" s="311">
        <f>F4+F5+SUM(F8:F13)+F17</f>
        <v>0</v>
      </c>
      <c r="G21" s="311">
        <f>G4+G5+SUM(G8:G13)+G17</f>
        <v>3557809.7350000003</v>
      </c>
    </row>
    <row r="22" spans="1:7" s="260" customFormat="1" ht="12.75" customHeight="1">
      <c r="A22" s="274" t="s">
        <v>247</v>
      </c>
      <c r="B22" s="262"/>
      <c r="C22" s="263" t="s">
        <v>248</v>
      </c>
      <c r="D22" s="275"/>
      <c r="E22" s="275"/>
      <c r="F22" s="266"/>
      <c r="G22" s="276">
        <v>2366900</v>
      </c>
    </row>
    <row r="23" spans="1:7" s="260" customFormat="1" ht="12.75" customHeight="1">
      <c r="A23" s="274" t="s">
        <v>249</v>
      </c>
      <c r="B23" s="262"/>
      <c r="C23" s="263" t="s">
        <v>250</v>
      </c>
      <c r="D23" s="275"/>
      <c r="E23" s="275"/>
      <c r="F23" s="266"/>
      <c r="G23" s="276">
        <v>151132</v>
      </c>
    </row>
    <row r="24" spans="1:7" s="313" customFormat="1" ht="12.75" customHeight="1">
      <c r="A24" s="261">
        <v>41</v>
      </c>
      <c r="B24" s="262"/>
      <c r="C24" s="263" t="s">
        <v>251</v>
      </c>
      <c r="D24" s="275"/>
      <c r="E24" s="275"/>
      <c r="F24" s="266"/>
      <c r="G24" s="276">
        <v>34235.6</v>
      </c>
    </row>
    <row r="25" spans="1:7" s="260" customFormat="1" ht="12.75" customHeight="1">
      <c r="A25" s="314">
        <v>42</v>
      </c>
      <c r="B25" s="315"/>
      <c r="C25" s="263" t="s">
        <v>252</v>
      </c>
      <c r="D25" s="275"/>
      <c r="E25" s="275"/>
      <c r="F25" s="266"/>
      <c r="G25" s="276">
        <v>358379.79</v>
      </c>
    </row>
    <row r="26" spans="1:7" s="318" customFormat="1" ht="12.75" customHeight="1">
      <c r="A26" s="278">
        <v>430</v>
      </c>
      <c r="B26" s="262"/>
      <c r="C26" s="263" t="s">
        <v>253</v>
      </c>
      <c r="D26" s="316"/>
      <c r="E26" s="316"/>
      <c r="F26" s="317"/>
      <c r="G26" s="298">
        <v>100</v>
      </c>
    </row>
    <row r="27" spans="1:7" s="318" customFormat="1" ht="12.75" customHeight="1">
      <c r="A27" s="278">
        <v>431</v>
      </c>
      <c r="B27" s="262"/>
      <c r="C27" s="263" t="s">
        <v>254</v>
      </c>
      <c r="D27" s="316"/>
      <c r="E27" s="316"/>
      <c r="F27" s="317"/>
      <c r="G27" s="298">
        <v>0</v>
      </c>
    </row>
    <row r="28" spans="1:7" s="318" customFormat="1" ht="12.75" customHeight="1">
      <c r="A28" s="278">
        <v>432</v>
      </c>
      <c r="B28" s="262"/>
      <c r="C28" s="263" t="s">
        <v>255</v>
      </c>
      <c r="D28" s="316"/>
      <c r="E28" s="316"/>
      <c r="F28" s="317"/>
      <c r="G28" s="298">
        <v>0</v>
      </c>
    </row>
    <row r="29" spans="1:7" s="318" customFormat="1" ht="12.75" customHeight="1">
      <c r="A29" s="278">
        <v>439</v>
      </c>
      <c r="B29" s="262"/>
      <c r="C29" s="263" t="s">
        <v>256</v>
      </c>
      <c r="D29" s="316"/>
      <c r="E29" s="316"/>
      <c r="F29" s="317"/>
      <c r="G29" s="298">
        <v>0</v>
      </c>
    </row>
    <row r="30" spans="1:7" s="260" customFormat="1" ht="25.5">
      <c r="A30" s="278">
        <v>450</v>
      </c>
      <c r="B30" s="279"/>
      <c r="C30" s="280" t="s">
        <v>257</v>
      </c>
      <c r="D30" s="264">
        <v>0</v>
      </c>
      <c r="E30" s="264">
        <v>0</v>
      </c>
      <c r="F30" s="264"/>
      <c r="G30" s="319">
        <v>0</v>
      </c>
    </row>
    <row r="31" spans="1:7" s="285" customFormat="1" ht="25.5">
      <c r="A31" s="278">
        <v>451</v>
      </c>
      <c r="B31" s="279"/>
      <c r="C31" s="280" t="s">
        <v>258</v>
      </c>
      <c r="D31" s="281"/>
      <c r="E31" s="281"/>
      <c r="F31" s="320"/>
      <c r="G31" s="558">
        <v>0</v>
      </c>
    </row>
    <row r="32" spans="1:7" s="260" customFormat="1" ht="12.75" customHeight="1">
      <c r="A32" s="261">
        <v>46</v>
      </c>
      <c r="B32" s="262"/>
      <c r="C32" s="263" t="s">
        <v>259</v>
      </c>
      <c r="D32" s="275"/>
      <c r="E32" s="275"/>
      <c r="F32" s="266"/>
      <c r="G32" s="276">
        <v>508151.419</v>
      </c>
    </row>
    <row r="33" spans="1:7" s="285" customFormat="1" ht="12.75" customHeight="1">
      <c r="A33" s="322" t="s">
        <v>260</v>
      </c>
      <c r="B33" s="269"/>
      <c r="C33" s="270" t="s">
        <v>261</v>
      </c>
      <c r="D33" s="271"/>
      <c r="E33" s="275"/>
      <c r="F33" s="266"/>
      <c r="G33" s="273">
        <v>0</v>
      </c>
    </row>
    <row r="34" spans="1:7" s="260" customFormat="1" ht="15" customHeight="1">
      <c r="A34" s="261">
        <v>47</v>
      </c>
      <c r="B34" s="262"/>
      <c r="C34" s="263" t="s">
        <v>240</v>
      </c>
      <c r="D34" s="275"/>
      <c r="E34" s="275"/>
      <c r="F34" s="266"/>
      <c r="G34" s="276">
        <v>0</v>
      </c>
    </row>
    <row r="35" spans="1:7" s="260" customFormat="1" ht="15" customHeight="1">
      <c r="A35" s="301">
        <v>49</v>
      </c>
      <c r="B35" s="302"/>
      <c r="C35" s="303" t="s">
        <v>262</v>
      </c>
      <c r="D35" s="306"/>
      <c r="E35" s="304"/>
      <c r="F35" s="307"/>
      <c r="G35" s="308">
        <v>211037.39</v>
      </c>
    </row>
    <row r="36" spans="1:7" ht="13.5" customHeight="1">
      <c r="A36" s="309"/>
      <c r="B36" s="335"/>
      <c r="C36" s="310" t="s">
        <v>263</v>
      </c>
      <c r="D36" s="311">
        <f>D22+D23+D24+D25+D26+D27+D28+D29+D30+D31+D32+D34</f>
        <v>0</v>
      </c>
      <c r="E36" s="311">
        <f>E22+E23+E24+E25+E26+E27+E28+E29+E30+E31+E32+E34</f>
        <v>0</v>
      </c>
      <c r="F36" s="311">
        <f>F22+F23+F24+F25+F26+F27+F28+F29+F30+F31+F32+F34</f>
        <v>0</v>
      </c>
      <c r="G36" s="311">
        <f>G22+G23+G24+G25+G26+G27+G28+G29+G30+G31+G32+G34</f>
        <v>3418898.8090000004</v>
      </c>
    </row>
    <row r="37" spans="1:7" s="487" customFormat="1" ht="15" customHeight="1">
      <c r="A37" s="309"/>
      <c r="B37" s="335"/>
      <c r="C37" s="310" t="s">
        <v>264</v>
      </c>
      <c r="D37" s="311">
        <f>D36-D21</f>
        <v>0</v>
      </c>
      <c r="E37" s="311">
        <f>E36-E21</f>
        <v>0</v>
      </c>
      <c r="F37" s="311">
        <f>F36-F21</f>
        <v>0</v>
      </c>
      <c r="G37" s="311">
        <f>G36-G21</f>
        <v>-138910.92599999998</v>
      </c>
    </row>
    <row r="38" spans="1:7" s="285" customFormat="1" ht="15" customHeight="1">
      <c r="A38" s="274">
        <v>340</v>
      </c>
      <c r="B38" s="262"/>
      <c r="C38" s="263" t="s">
        <v>265</v>
      </c>
      <c r="D38" s="316"/>
      <c r="E38" s="264"/>
      <c r="F38" s="286"/>
      <c r="G38" s="276">
        <v>77496.554</v>
      </c>
    </row>
    <row r="39" spans="1:7" s="285" customFormat="1" ht="15" customHeight="1">
      <c r="A39" s="274">
        <v>341</v>
      </c>
      <c r="B39" s="262"/>
      <c r="C39" s="263" t="s">
        <v>266</v>
      </c>
      <c r="D39" s="316"/>
      <c r="E39" s="275"/>
      <c r="F39" s="266"/>
      <c r="G39" s="276">
        <v>0.7</v>
      </c>
    </row>
    <row r="40" spans="1:7" s="285" customFormat="1" ht="15" customHeight="1">
      <c r="A40" s="274">
        <v>342</v>
      </c>
      <c r="B40" s="262"/>
      <c r="C40" s="263" t="s">
        <v>267</v>
      </c>
      <c r="D40" s="316"/>
      <c r="E40" s="275"/>
      <c r="F40" s="266"/>
      <c r="G40" s="276">
        <v>2412.44</v>
      </c>
    </row>
    <row r="41" spans="1:7" s="285" customFormat="1" ht="15" customHeight="1">
      <c r="A41" s="274">
        <v>343</v>
      </c>
      <c r="B41" s="262"/>
      <c r="C41" s="263" t="s">
        <v>268</v>
      </c>
      <c r="D41" s="316"/>
      <c r="E41" s="275"/>
      <c r="F41" s="266"/>
      <c r="G41" s="276">
        <v>63463.976</v>
      </c>
    </row>
    <row r="42" spans="1:7" s="285" customFormat="1" ht="15" customHeight="1">
      <c r="A42" s="274">
        <v>344</v>
      </c>
      <c r="B42" s="262"/>
      <c r="C42" s="263" t="s">
        <v>269</v>
      </c>
      <c r="D42" s="316"/>
      <c r="E42" s="275"/>
      <c r="F42" s="266"/>
      <c r="G42" s="276">
        <v>152</v>
      </c>
    </row>
    <row r="43" spans="1:7" s="285" customFormat="1" ht="15" customHeight="1">
      <c r="A43" s="274">
        <v>349</v>
      </c>
      <c r="B43" s="262"/>
      <c r="C43" s="263" t="s">
        <v>270</v>
      </c>
      <c r="D43" s="316"/>
      <c r="E43" s="275"/>
      <c r="F43" s="266"/>
      <c r="G43" s="276">
        <v>1.127</v>
      </c>
    </row>
    <row r="44" spans="1:7" s="260" customFormat="1" ht="15" customHeight="1">
      <c r="A44" s="261">
        <v>440</v>
      </c>
      <c r="B44" s="262"/>
      <c r="C44" s="263" t="s">
        <v>271</v>
      </c>
      <c r="D44" s="316"/>
      <c r="E44" s="264"/>
      <c r="F44" s="286"/>
      <c r="G44" s="276">
        <v>20293.234</v>
      </c>
    </row>
    <row r="45" spans="1:7" s="260" customFormat="1" ht="15" customHeight="1">
      <c r="A45" s="261">
        <v>441</v>
      </c>
      <c r="B45" s="262"/>
      <c r="C45" s="263" t="s">
        <v>272</v>
      </c>
      <c r="D45" s="316"/>
      <c r="E45" s="264"/>
      <c r="F45" s="286"/>
      <c r="G45" s="276">
        <v>5</v>
      </c>
    </row>
    <row r="46" spans="1:7" s="260" customFormat="1" ht="15" customHeight="1">
      <c r="A46" s="261">
        <v>442</v>
      </c>
      <c r="B46" s="262"/>
      <c r="C46" s="263" t="s">
        <v>273</v>
      </c>
      <c r="D46" s="316"/>
      <c r="E46" s="264"/>
      <c r="F46" s="266"/>
      <c r="G46" s="267">
        <v>5553.016</v>
      </c>
    </row>
    <row r="47" spans="1:7" s="260" customFormat="1" ht="15" customHeight="1">
      <c r="A47" s="261">
        <v>443</v>
      </c>
      <c r="B47" s="262"/>
      <c r="C47" s="263" t="s">
        <v>274</v>
      </c>
      <c r="D47" s="316"/>
      <c r="E47" s="264"/>
      <c r="F47" s="286"/>
      <c r="G47" s="276">
        <v>148390.208</v>
      </c>
    </row>
    <row r="48" spans="1:7" s="260" customFormat="1" ht="15" customHeight="1">
      <c r="A48" s="261">
        <v>444</v>
      </c>
      <c r="B48" s="262"/>
      <c r="C48" s="263" t="s">
        <v>269</v>
      </c>
      <c r="D48" s="316"/>
      <c r="E48" s="264"/>
      <c r="F48" s="286"/>
      <c r="G48" s="276">
        <v>0</v>
      </c>
    </row>
    <row r="49" spans="1:7" s="260" customFormat="1" ht="15" customHeight="1">
      <c r="A49" s="261">
        <v>445</v>
      </c>
      <c r="B49" s="262"/>
      <c r="C49" s="263" t="s">
        <v>275</v>
      </c>
      <c r="D49" s="316"/>
      <c r="E49" s="264"/>
      <c r="F49" s="286"/>
      <c r="G49" s="276">
        <v>23653.165</v>
      </c>
    </row>
    <row r="50" spans="1:7" s="260" customFormat="1" ht="15" customHeight="1">
      <c r="A50" s="261">
        <v>446</v>
      </c>
      <c r="B50" s="262"/>
      <c r="C50" s="263" t="s">
        <v>276</v>
      </c>
      <c r="D50" s="316"/>
      <c r="E50" s="264"/>
      <c r="F50" s="286"/>
      <c r="G50" s="276">
        <v>91165.433</v>
      </c>
    </row>
    <row r="51" spans="1:7" s="260" customFormat="1" ht="15" customHeight="1">
      <c r="A51" s="261">
        <v>447</v>
      </c>
      <c r="B51" s="262"/>
      <c r="C51" s="263" t="s">
        <v>277</v>
      </c>
      <c r="D51" s="316"/>
      <c r="E51" s="264"/>
      <c r="F51" s="286"/>
      <c r="G51" s="276">
        <v>1050.71</v>
      </c>
    </row>
    <row r="52" spans="1:7" s="260" customFormat="1" ht="15" customHeight="1">
      <c r="A52" s="261">
        <v>448</v>
      </c>
      <c r="B52" s="262"/>
      <c r="C52" s="263" t="s">
        <v>278</v>
      </c>
      <c r="D52" s="316"/>
      <c r="E52" s="264"/>
      <c r="F52" s="286">
        <v>0</v>
      </c>
      <c r="G52" s="276">
        <v>0</v>
      </c>
    </row>
    <row r="53" spans="1:7" s="260" customFormat="1" ht="15" customHeight="1">
      <c r="A53" s="261">
        <v>449</v>
      </c>
      <c r="B53" s="262"/>
      <c r="C53" s="263" t="s">
        <v>279</v>
      </c>
      <c r="D53" s="316"/>
      <c r="E53" s="264"/>
      <c r="F53" s="286"/>
      <c r="G53" s="276">
        <v>60</v>
      </c>
    </row>
    <row r="54" spans="1:7" s="285" customFormat="1" ht="13.5" customHeight="1">
      <c r="A54" s="329" t="s">
        <v>280</v>
      </c>
      <c r="B54" s="330"/>
      <c r="C54" s="330" t="s">
        <v>281</v>
      </c>
      <c r="D54" s="488"/>
      <c r="E54" s="332"/>
      <c r="F54" s="333">
        <v>0</v>
      </c>
      <c r="G54" s="334">
        <v>0</v>
      </c>
    </row>
    <row r="55" spans="1:7" ht="15" customHeight="1">
      <c r="A55" s="335"/>
      <c r="B55" s="335"/>
      <c r="C55" s="310" t="s">
        <v>282</v>
      </c>
      <c r="D55" s="311">
        <f>SUM(D44:D53)-SUM(D38:D43)</f>
        <v>0</v>
      </c>
      <c r="E55" s="311">
        <f>SUM(E44:E53)-SUM(E38:E43)</f>
        <v>0</v>
      </c>
      <c r="F55" s="311">
        <f>SUM(F44:F53)-SUM(F38:F43)</f>
        <v>0</v>
      </c>
      <c r="G55" s="311">
        <f>SUM(G44:G53)-SUM(G38:G43)</f>
        <v>146643.96900000004</v>
      </c>
    </row>
    <row r="56" spans="1:7" ht="14.25" customHeight="1">
      <c r="A56" s="335"/>
      <c r="B56" s="335"/>
      <c r="C56" s="310" t="s">
        <v>283</v>
      </c>
      <c r="D56" s="311">
        <f>D55+D37</f>
        <v>0</v>
      </c>
      <c r="E56" s="311">
        <f>E55+E37</f>
        <v>0</v>
      </c>
      <c r="F56" s="311">
        <f>F55+F37</f>
        <v>0</v>
      </c>
      <c r="G56" s="311">
        <f>G55+G37</f>
        <v>7733.043000000063</v>
      </c>
    </row>
    <row r="57" spans="1:7" s="260" customFormat="1" ht="15.75" customHeight="1">
      <c r="A57" s="580">
        <v>380</v>
      </c>
      <c r="B57" s="581"/>
      <c r="C57" s="256" t="s">
        <v>284</v>
      </c>
      <c r="D57" s="481"/>
      <c r="E57" s="257">
        <v>0</v>
      </c>
      <c r="F57" s="258">
        <v>0</v>
      </c>
      <c r="G57" s="582">
        <v>0</v>
      </c>
    </row>
    <row r="58" spans="1:7" s="260" customFormat="1" ht="15.75" customHeight="1">
      <c r="A58" s="336">
        <v>381</v>
      </c>
      <c r="B58" s="337"/>
      <c r="C58" s="338" t="s">
        <v>285</v>
      </c>
      <c r="D58" s="340"/>
      <c r="E58" s="339"/>
      <c r="F58" s="341"/>
      <c r="G58" s="342"/>
    </row>
    <row r="59" spans="1:7" s="260" customFormat="1" ht="15.75" customHeight="1">
      <c r="A59" s="336">
        <v>383</v>
      </c>
      <c r="B59" s="337"/>
      <c r="C59" s="280" t="s">
        <v>286</v>
      </c>
      <c r="D59" s="340"/>
      <c r="E59" s="339"/>
      <c r="F59" s="341"/>
      <c r="G59" s="342"/>
    </row>
    <row r="60" spans="1:7" s="285" customFormat="1" ht="12.75">
      <c r="A60" s="278">
        <v>3840</v>
      </c>
      <c r="B60" s="279"/>
      <c r="C60" s="280" t="s">
        <v>287</v>
      </c>
      <c r="D60" s="344"/>
      <c r="E60" s="343">
        <v>0</v>
      </c>
      <c r="F60" s="345">
        <v>0</v>
      </c>
      <c r="G60" s="321">
        <v>0</v>
      </c>
    </row>
    <row r="61" spans="1:7" s="285" customFormat="1" ht="25.5">
      <c r="A61" s="278">
        <v>3841</v>
      </c>
      <c r="B61" s="279"/>
      <c r="C61" s="280" t="s">
        <v>288</v>
      </c>
      <c r="D61" s="346"/>
      <c r="E61" s="346"/>
      <c r="F61" s="508"/>
      <c r="G61" s="482"/>
    </row>
    <row r="62" spans="1:7" s="285" customFormat="1" ht="12.75">
      <c r="A62" s="278">
        <v>386</v>
      </c>
      <c r="B62" s="279"/>
      <c r="C62" s="351" t="s">
        <v>289</v>
      </c>
      <c r="D62" s="346"/>
      <c r="E62" s="346"/>
      <c r="F62" s="508"/>
      <c r="G62" s="482"/>
    </row>
    <row r="63" spans="1:7" s="285" customFormat="1" ht="25.5">
      <c r="A63" s="349">
        <v>387</v>
      </c>
      <c r="B63" s="350"/>
      <c r="C63" s="280" t="s">
        <v>290</v>
      </c>
      <c r="D63" s="346"/>
      <c r="E63" s="346"/>
      <c r="F63" s="508"/>
      <c r="G63" s="482"/>
    </row>
    <row r="64" spans="1:7" s="285" customFormat="1" ht="12.75">
      <c r="A64" s="278">
        <v>389</v>
      </c>
      <c r="B64" s="279"/>
      <c r="C64" s="263" t="s">
        <v>57</v>
      </c>
      <c r="D64" s="346"/>
      <c r="E64" s="346">
        <v>0</v>
      </c>
      <c r="F64" s="508">
        <v>0</v>
      </c>
      <c r="G64" s="482">
        <v>0</v>
      </c>
    </row>
    <row r="65" spans="1:7" s="260" customFormat="1" ht="12.75">
      <c r="A65" s="274" t="s">
        <v>291</v>
      </c>
      <c r="B65" s="262"/>
      <c r="C65" s="263" t="s">
        <v>292</v>
      </c>
      <c r="D65" s="275"/>
      <c r="E65" s="275"/>
      <c r="F65" s="266"/>
      <c r="G65" s="276"/>
    </row>
    <row r="66" spans="1:7" s="355" customFormat="1" ht="25.5">
      <c r="A66" s="492" t="s">
        <v>293</v>
      </c>
      <c r="B66" s="354"/>
      <c r="C66" s="280" t="s">
        <v>294</v>
      </c>
      <c r="D66" s="344"/>
      <c r="E66" s="344"/>
      <c r="F66" s="312"/>
      <c r="G66" s="321"/>
    </row>
    <row r="67" spans="1:7" s="260" customFormat="1" ht="12.75">
      <c r="A67" s="353">
        <v>481</v>
      </c>
      <c r="B67" s="262"/>
      <c r="C67" s="263" t="s">
        <v>295</v>
      </c>
      <c r="D67" s="275"/>
      <c r="E67" s="275"/>
      <c r="F67" s="266"/>
      <c r="G67" s="276"/>
    </row>
    <row r="68" spans="1:7" s="260" customFormat="1" ht="12.75">
      <c r="A68" s="353">
        <v>482</v>
      </c>
      <c r="B68" s="262"/>
      <c r="C68" s="263" t="s">
        <v>296</v>
      </c>
      <c r="D68" s="275"/>
      <c r="E68" s="275"/>
      <c r="F68" s="266"/>
      <c r="G68" s="276"/>
    </row>
    <row r="69" spans="1:7" s="260" customFormat="1" ht="12.75">
      <c r="A69" s="353">
        <v>483</v>
      </c>
      <c r="B69" s="262"/>
      <c r="C69" s="263" t="s">
        <v>297</v>
      </c>
      <c r="D69" s="275"/>
      <c r="E69" s="275"/>
      <c r="F69" s="266"/>
      <c r="G69" s="276"/>
    </row>
    <row r="70" spans="1:7" s="260" customFormat="1" ht="12.75">
      <c r="A70" s="353">
        <v>484</v>
      </c>
      <c r="B70" s="262"/>
      <c r="C70" s="263" t="s">
        <v>298</v>
      </c>
      <c r="D70" s="275"/>
      <c r="E70" s="275"/>
      <c r="F70" s="266"/>
      <c r="G70" s="276"/>
    </row>
    <row r="71" spans="1:7" s="260" customFormat="1" ht="12.75">
      <c r="A71" s="353">
        <v>485</v>
      </c>
      <c r="B71" s="262"/>
      <c r="C71" s="263" t="s">
        <v>299</v>
      </c>
      <c r="D71" s="275"/>
      <c r="E71" s="275"/>
      <c r="F71" s="266"/>
      <c r="G71" s="276"/>
    </row>
    <row r="72" spans="1:7" s="260" customFormat="1" ht="12.75">
      <c r="A72" s="353">
        <v>486</v>
      </c>
      <c r="B72" s="262"/>
      <c r="C72" s="263" t="s">
        <v>300</v>
      </c>
      <c r="D72" s="275"/>
      <c r="E72" s="275"/>
      <c r="F72" s="266"/>
      <c r="G72" s="276"/>
    </row>
    <row r="73" spans="1:7" s="285" customFormat="1" ht="12.75">
      <c r="A73" s="353">
        <v>487</v>
      </c>
      <c r="B73" s="269"/>
      <c r="C73" s="263" t="s">
        <v>301</v>
      </c>
      <c r="D73" s="275"/>
      <c r="E73" s="264"/>
      <c r="F73" s="286">
        <v>0</v>
      </c>
      <c r="G73" s="276">
        <v>0</v>
      </c>
    </row>
    <row r="74" spans="1:7" s="285" customFormat="1" ht="12.75">
      <c r="A74" s="353">
        <v>489</v>
      </c>
      <c r="B74" s="356"/>
      <c r="C74" s="303" t="s">
        <v>74</v>
      </c>
      <c r="D74" s="275"/>
      <c r="E74" s="264"/>
      <c r="F74" s="286">
        <v>0</v>
      </c>
      <c r="G74" s="276">
        <v>0</v>
      </c>
    </row>
    <row r="75" spans="1:7" s="285" customFormat="1" ht="12.75">
      <c r="A75" s="357" t="s">
        <v>302</v>
      </c>
      <c r="B75" s="356"/>
      <c r="C75" s="330" t="s">
        <v>303</v>
      </c>
      <c r="D75" s="275"/>
      <c r="E75" s="275"/>
      <c r="F75" s="266"/>
      <c r="G75" s="276"/>
    </row>
    <row r="76" spans="1:7" ht="12.75">
      <c r="A76" s="309"/>
      <c r="B76" s="309"/>
      <c r="C76" s="310" t="s">
        <v>304</v>
      </c>
      <c r="D76" s="311">
        <f>SUM(D65:D74)-SUM(D57:D64)</f>
        <v>0</v>
      </c>
      <c r="E76" s="311">
        <f>SUM(E65:E74)-SUM(E57:E64)</f>
        <v>0</v>
      </c>
      <c r="F76" s="311">
        <f>SUM(F65:F74)-SUM(F57:F64)</f>
        <v>0</v>
      </c>
      <c r="G76" s="311">
        <f>SUM(G65:G74)-SUM(G57:G64)</f>
        <v>0</v>
      </c>
    </row>
    <row r="77" spans="1:7" ht="12.75">
      <c r="A77" s="358"/>
      <c r="B77" s="358"/>
      <c r="C77" s="310" t="s">
        <v>305</v>
      </c>
      <c r="D77" s="311">
        <f>D56+D76</f>
        <v>0</v>
      </c>
      <c r="E77" s="311">
        <f>E56+E76</f>
        <v>0</v>
      </c>
      <c r="F77" s="311">
        <f>F56+F76</f>
        <v>0</v>
      </c>
      <c r="G77" s="311">
        <f>G56+G76</f>
        <v>7733.043000000063</v>
      </c>
    </row>
    <row r="78" spans="1:7" ht="12.75">
      <c r="A78" s="359">
        <v>3</v>
      </c>
      <c r="B78" s="359"/>
      <c r="C78" s="360" t="s">
        <v>306</v>
      </c>
      <c r="D78" s="361">
        <f>D20+D21+SUM(D38:D43)+SUM(D57:D64)</f>
        <v>0</v>
      </c>
      <c r="E78" s="361">
        <f>E20+E21+SUM(E38:E43)+SUM(E57:E64)</f>
        <v>0</v>
      </c>
      <c r="F78" s="361">
        <f>F20+F21+SUM(F38:F43)+SUM(F57:F64)</f>
        <v>0</v>
      </c>
      <c r="G78" s="361">
        <f>G20+G21+SUM(G38:G43)+SUM(G57:G64)</f>
        <v>3912373.9220000003</v>
      </c>
    </row>
    <row r="79" spans="1:7" ht="12.75">
      <c r="A79" s="359">
        <v>4</v>
      </c>
      <c r="B79" s="359"/>
      <c r="C79" s="360" t="s">
        <v>307</v>
      </c>
      <c r="D79" s="361">
        <f>D35+D36+SUM(D44:D53)+SUM(D65:D74)</f>
        <v>0</v>
      </c>
      <c r="E79" s="361">
        <f>E35+E36+SUM(E44:E53)+SUM(E65:E74)</f>
        <v>0</v>
      </c>
      <c r="F79" s="361">
        <f>F35+F36+SUM(F44:F53)+SUM(F65:F74)</f>
        <v>0</v>
      </c>
      <c r="G79" s="361">
        <f>G35+G36+SUM(G44:G53)+SUM(G65:G74)</f>
        <v>3920106.965000001</v>
      </c>
    </row>
    <row r="80" spans="1:7" ht="12.75">
      <c r="A80" s="362"/>
      <c r="B80" s="362"/>
      <c r="C80" s="363"/>
      <c r="D80" s="364"/>
      <c r="E80" s="364"/>
      <c r="F80" s="364"/>
      <c r="G80" s="364"/>
    </row>
    <row r="81" spans="1:7" ht="12.75">
      <c r="A81" s="611" t="s">
        <v>308</v>
      </c>
      <c r="B81" s="612"/>
      <c r="C81" s="612"/>
      <c r="D81" s="366"/>
      <c r="E81" s="365"/>
      <c r="F81" s="366"/>
      <c r="G81" s="365"/>
    </row>
    <row r="82" spans="1:7" s="260" customFormat="1" ht="12.75">
      <c r="A82" s="367">
        <v>50</v>
      </c>
      <c r="B82" s="368"/>
      <c r="C82" s="368" t="s">
        <v>309</v>
      </c>
      <c r="D82" s="316"/>
      <c r="E82" s="275"/>
      <c r="F82" s="266"/>
      <c r="G82" s="276">
        <v>339127</v>
      </c>
    </row>
    <row r="83" spans="1:7" s="260" customFormat="1" ht="12.75">
      <c r="A83" s="367">
        <v>51</v>
      </c>
      <c r="B83" s="368"/>
      <c r="C83" s="368" t="s">
        <v>310</v>
      </c>
      <c r="D83" s="316"/>
      <c r="E83" s="275"/>
      <c r="F83" s="266"/>
      <c r="G83" s="276">
        <v>0</v>
      </c>
    </row>
    <row r="84" spans="1:7" s="260" customFormat="1" ht="12.75">
      <c r="A84" s="367">
        <v>52</v>
      </c>
      <c r="B84" s="368"/>
      <c r="C84" s="368" t="s">
        <v>311</v>
      </c>
      <c r="D84" s="316"/>
      <c r="E84" s="275"/>
      <c r="F84" s="266"/>
      <c r="G84" s="276">
        <v>160</v>
      </c>
    </row>
    <row r="85" spans="1:7" s="260" customFormat="1" ht="12.75">
      <c r="A85" s="369">
        <v>54</v>
      </c>
      <c r="B85" s="370"/>
      <c r="C85" s="370" t="s">
        <v>312</v>
      </c>
      <c r="D85" s="316"/>
      <c r="E85" s="275"/>
      <c r="F85" s="266"/>
      <c r="G85" s="276">
        <v>46000</v>
      </c>
    </row>
    <row r="86" spans="1:7" s="260" customFormat="1" ht="12.75">
      <c r="A86" s="369">
        <v>55</v>
      </c>
      <c r="B86" s="370"/>
      <c r="C86" s="370" t="s">
        <v>313</v>
      </c>
      <c r="D86" s="316"/>
      <c r="E86" s="275"/>
      <c r="F86" s="266">
        <v>0</v>
      </c>
      <c r="G86" s="276">
        <v>15900</v>
      </c>
    </row>
    <row r="87" spans="1:7" s="260" customFormat="1" ht="12.75">
      <c r="A87" s="369">
        <v>56</v>
      </c>
      <c r="B87" s="370"/>
      <c r="C87" s="370" t="s">
        <v>314</v>
      </c>
      <c r="D87" s="316"/>
      <c r="E87" s="275"/>
      <c r="F87" s="266"/>
      <c r="G87" s="276">
        <v>0</v>
      </c>
    </row>
    <row r="88" spans="1:7" s="260" customFormat="1" ht="12.75">
      <c r="A88" s="367">
        <v>57</v>
      </c>
      <c r="B88" s="368"/>
      <c r="C88" s="368" t="s">
        <v>315</v>
      </c>
      <c r="D88" s="316"/>
      <c r="E88" s="275"/>
      <c r="F88" s="266">
        <v>0</v>
      </c>
      <c r="G88" s="276">
        <v>0</v>
      </c>
    </row>
    <row r="89" spans="1:7" s="260" customFormat="1" ht="12.75">
      <c r="A89" s="367">
        <v>580</v>
      </c>
      <c r="B89" s="368"/>
      <c r="C89" s="368" t="s">
        <v>316</v>
      </c>
      <c r="D89" s="275"/>
      <c r="E89" s="275"/>
      <c r="F89" s="266"/>
      <c r="G89" s="276">
        <v>0</v>
      </c>
    </row>
    <row r="90" spans="1:7" s="260" customFormat="1" ht="12.75">
      <c r="A90" s="367">
        <v>582</v>
      </c>
      <c r="B90" s="368"/>
      <c r="C90" s="368" t="s">
        <v>317</v>
      </c>
      <c r="D90" s="275"/>
      <c r="E90" s="275"/>
      <c r="F90" s="266"/>
      <c r="G90" s="276">
        <v>0</v>
      </c>
    </row>
    <row r="91" spans="1:7" s="260" customFormat="1" ht="12.75">
      <c r="A91" s="367">
        <v>584</v>
      </c>
      <c r="B91" s="368"/>
      <c r="C91" s="368" t="s">
        <v>318</v>
      </c>
      <c r="D91" s="275"/>
      <c r="E91" s="275"/>
      <c r="F91" s="266"/>
      <c r="G91" s="276">
        <v>0</v>
      </c>
    </row>
    <row r="92" spans="1:7" s="260" customFormat="1" ht="12.75">
      <c r="A92" s="367">
        <v>585</v>
      </c>
      <c r="B92" s="368"/>
      <c r="C92" s="368" t="s">
        <v>319</v>
      </c>
      <c r="D92" s="275"/>
      <c r="E92" s="275"/>
      <c r="F92" s="266"/>
      <c r="G92" s="276">
        <v>0</v>
      </c>
    </row>
    <row r="93" spans="1:7" s="260" customFormat="1" ht="12.75">
      <c r="A93" s="367">
        <v>586</v>
      </c>
      <c r="B93" s="368"/>
      <c r="C93" s="368" t="s">
        <v>320</v>
      </c>
      <c r="D93" s="275"/>
      <c r="E93" s="275"/>
      <c r="F93" s="266"/>
      <c r="G93" s="276">
        <v>0</v>
      </c>
    </row>
    <row r="94" spans="1:7" s="260" customFormat="1" ht="12.75">
      <c r="A94" s="371">
        <v>589</v>
      </c>
      <c r="B94" s="372"/>
      <c r="C94" s="372" t="s">
        <v>321</v>
      </c>
      <c r="D94" s="306"/>
      <c r="E94" s="306"/>
      <c r="F94" s="373"/>
      <c r="G94" s="308">
        <v>0</v>
      </c>
    </row>
    <row r="95" spans="1:7" ht="12.75">
      <c r="A95" s="374">
        <v>5</v>
      </c>
      <c r="B95" s="375"/>
      <c r="C95" s="375" t="s">
        <v>322</v>
      </c>
      <c r="D95" s="376">
        <f>SUM(D82:D94)</f>
        <v>0</v>
      </c>
      <c r="E95" s="376">
        <f>SUM(E82:E94)</f>
        <v>0</v>
      </c>
      <c r="F95" s="376">
        <f>SUM(F82:F94)</f>
        <v>0</v>
      </c>
      <c r="G95" s="376">
        <f>SUM(G82:G94)</f>
        <v>401187</v>
      </c>
    </row>
    <row r="96" spans="1:7" s="260" customFormat="1" ht="12.75">
      <c r="A96" s="367">
        <v>60</v>
      </c>
      <c r="B96" s="368"/>
      <c r="C96" s="368" t="s">
        <v>323</v>
      </c>
      <c r="D96" s="316"/>
      <c r="E96" s="275"/>
      <c r="F96" s="266"/>
      <c r="G96" s="276">
        <v>0</v>
      </c>
    </row>
    <row r="97" spans="1:7" s="260" customFormat="1" ht="12.75">
      <c r="A97" s="367">
        <v>61</v>
      </c>
      <c r="B97" s="368"/>
      <c r="C97" s="368" t="s">
        <v>324</v>
      </c>
      <c r="D97" s="316"/>
      <c r="E97" s="275"/>
      <c r="F97" s="266"/>
      <c r="G97" s="276">
        <v>0</v>
      </c>
    </row>
    <row r="98" spans="1:7" s="260" customFormat="1" ht="12.75">
      <c r="A98" s="367">
        <v>62</v>
      </c>
      <c r="B98" s="368"/>
      <c r="C98" s="368" t="s">
        <v>325</v>
      </c>
      <c r="D98" s="316"/>
      <c r="E98" s="275"/>
      <c r="F98" s="266"/>
      <c r="G98" s="276">
        <v>0</v>
      </c>
    </row>
    <row r="99" spans="1:7" s="260" customFormat="1" ht="12.75">
      <c r="A99" s="367">
        <v>63</v>
      </c>
      <c r="B99" s="368"/>
      <c r="C99" s="368" t="s">
        <v>326</v>
      </c>
      <c r="D99" s="316"/>
      <c r="E99" s="275"/>
      <c r="F99" s="266"/>
      <c r="G99" s="276">
        <v>28250</v>
      </c>
    </row>
    <row r="100" spans="1:7" s="260" customFormat="1" ht="12.75">
      <c r="A100" s="369">
        <v>64</v>
      </c>
      <c r="B100" s="370"/>
      <c r="C100" s="370" t="s">
        <v>327</v>
      </c>
      <c r="D100" s="485"/>
      <c r="E100" s="271"/>
      <c r="F100" s="266">
        <v>0</v>
      </c>
      <c r="G100" s="276">
        <v>0</v>
      </c>
    </row>
    <row r="101" spans="1:7" s="260" customFormat="1" ht="12.75">
      <c r="A101" s="369">
        <v>65</v>
      </c>
      <c r="B101" s="370"/>
      <c r="C101" s="370" t="s">
        <v>328</v>
      </c>
      <c r="D101" s="485"/>
      <c r="E101" s="271"/>
      <c r="F101" s="266">
        <v>0</v>
      </c>
      <c r="G101" s="276">
        <v>0</v>
      </c>
    </row>
    <row r="102" spans="1:7" s="260" customFormat="1" ht="12.75">
      <c r="A102" s="369">
        <v>66</v>
      </c>
      <c r="B102" s="370"/>
      <c r="C102" s="370" t="s">
        <v>329</v>
      </c>
      <c r="D102" s="485"/>
      <c r="E102" s="271"/>
      <c r="F102" s="266"/>
      <c r="G102" s="276">
        <v>0</v>
      </c>
    </row>
    <row r="103" spans="1:7" s="260" customFormat="1" ht="12.75">
      <c r="A103" s="367">
        <v>67</v>
      </c>
      <c r="B103" s="368"/>
      <c r="C103" s="368" t="s">
        <v>315</v>
      </c>
      <c r="D103" s="316"/>
      <c r="E103" s="264"/>
      <c r="F103" s="286">
        <v>0</v>
      </c>
      <c r="G103" s="267">
        <v>0</v>
      </c>
    </row>
    <row r="104" spans="1:7" s="260" customFormat="1" ht="38.25">
      <c r="A104" s="377" t="s">
        <v>330</v>
      </c>
      <c r="B104" s="368"/>
      <c r="C104" s="378" t="s">
        <v>331</v>
      </c>
      <c r="D104" s="264"/>
      <c r="E104" s="264"/>
      <c r="F104" s="286"/>
      <c r="G104" s="267">
        <v>0</v>
      </c>
    </row>
    <row r="105" spans="1:7" s="260" customFormat="1" ht="63.75">
      <c r="A105" s="381" t="s">
        <v>332</v>
      </c>
      <c r="B105" s="372"/>
      <c r="C105" s="382" t="s">
        <v>333</v>
      </c>
      <c r="D105" s="304"/>
      <c r="E105" s="304"/>
      <c r="F105" s="307"/>
      <c r="G105" s="486">
        <v>0</v>
      </c>
    </row>
    <row r="106" spans="1:7" ht="12.75">
      <c r="A106" s="374">
        <v>6</v>
      </c>
      <c r="B106" s="375"/>
      <c r="C106" s="375" t="s">
        <v>334</v>
      </c>
      <c r="D106" s="376">
        <f>SUM(D96:D105)</f>
        <v>0</v>
      </c>
      <c r="E106" s="376">
        <f>SUM(E96:E105)</f>
        <v>0</v>
      </c>
      <c r="F106" s="376">
        <f>SUM(F96:F105)</f>
        <v>0</v>
      </c>
      <c r="G106" s="376">
        <f>SUM(G96:G105)</f>
        <v>28250</v>
      </c>
    </row>
    <row r="107" spans="1:7" ht="12.75">
      <c r="A107" s="386" t="s">
        <v>335</v>
      </c>
      <c r="B107" s="386"/>
      <c r="C107" s="375" t="s">
        <v>3</v>
      </c>
      <c r="D107" s="376">
        <f>(D95-D88)-(D106-D103)</f>
        <v>0</v>
      </c>
      <c r="E107" s="376">
        <f>(E95-E88)-(E106-E103)</f>
        <v>0</v>
      </c>
      <c r="F107" s="376">
        <f>(F95-F88)-(F106-F103)</f>
        <v>0</v>
      </c>
      <c r="G107" s="376">
        <f>(G95-G88)-(G106-G103)</f>
        <v>372937</v>
      </c>
    </row>
    <row r="108" spans="1:7" ht="12.75">
      <c r="A108" s="387" t="s">
        <v>336</v>
      </c>
      <c r="B108" s="387"/>
      <c r="C108" s="388" t="s">
        <v>337</v>
      </c>
      <c r="D108" s="389">
        <f>D107-D85-D86+D100+D101</f>
        <v>0</v>
      </c>
      <c r="E108" s="389">
        <f>E107-E85-E86+E100+E101</f>
        <v>0</v>
      </c>
      <c r="F108" s="389">
        <f>F107-F85-F86+F100+F101</f>
        <v>0</v>
      </c>
      <c r="G108" s="389">
        <f>G107-G85-G86+G100+G101</f>
        <v>311037</v>
      </c>
    </row>
    <row r="109" spans="1:7" ht="12.75">
      <c r="A109" s="362"/>
      <c r="B109" s="362"/>
      <c r="C109" s="363"/>
      <c r="D109" s="364"/>
      <c r="E109" s="364"/>
      <c r="F109" s="364"/>
      <c r="G109" s="364"/>
    </row>
    <row r="110" spans="1:7" s="250" customFormat="1" ht="12.75">
      <c r="A110" s="390" t="s">
        <v>338</v>
      </c>
      <c r="B110" s="391"/>
      <c r="C110" s="390"/>
      <c r="D110" s="364"/>
      <c r="E110" s="364"/>
      <c r="F110" s="364"/>
      <c r="G110" s="364"/>
    </row>
    <row r="111" spans="1:7" s="396" customFormat="1" ht="12.75">
      <c r="A111" s="392">
        <v>10</v>
      </c>
      <c r="B111" s="393"/>
      <c r="C111" s="393" t="s">
        <v>339</v>
      </c>
      <c r="D111" s="394">
        <f>D112+D117</f>
        <v>0</v>
      </c>
      <c r="E111" s="493">
        <f>E112+E117</f>
        <v>0</v>
      </c>
      <c r="F111" s="394">
        <f>F112+F117</f>
        <v>0</v>
      </c>
      <c r="G111" s="395">
        <f>G112+G117</f>
        <v>0</v>
      </c>
    </row>
    <row r="112" spans="1:7" s="396" customFormat="1" ht="12.75">
      <c r="A112" s="397" t="s">
        <v>340</v>
      </c>
      <c r="B112" s="398"/>
      <c r="C112" s="398" t="s">
        <v>341</v>
      </c>
      <c r="D112" s="394">
        <f>D113+D114+D115+D116</f>
        <v>0</v>
      </c>
      <c r="E112" s="493">
        <f>E113+E114+E115+E116</f>
        <v>0</v>
      </c>
      <c r="F112" s="394">
        <f>F113+F114+F115+F116</f>
        <v>0</v>
      </c>
      <c r="G112" s="395">
        <f>G113+G114+G115+G116</f>
        <v>0</v>
      </c>
    </row>
    <row r="113" spans="1:7" s="396" customFormat="1" ht="12.75">
      <c r="A113" s="410" t="s">
        <v>342</v>
      </c>
      <c r="B113" s="411"/>
      <c r="C113" s="411" t="s">
        <v>343</v>
      </c>
      <c r="D113" s="275"/>
      <c r="E113" s="316"/>
      <c r="F113" s="275"/>
      <c r="G113" s="277"/>
    </row>
    <row r="114" spans="1:7" s="406" customFormat="1" ht="15" customHeight="1">
      <c r="A114" s="414">
        <v>102</v>
      </c>
      <c r="B114" s="494"/>
      <c r="C114" s="494" t="s">
        <v>344</v>
      </c>
      <c r="D114" s="344"/>
      <c r="E114" s="344"/>
      <c r="F114" s="344"/>
      <c r="G114" s="495"/>
    </row>
    <row r="115" spans="1:7" s="396" customFormat="1" ht="12.75">
      <c r="A115" s="410">
        <v>104</v>
      </c>
      <c r="B115" s="411"/>
      <c r="C115" s="411" t="s">
        <v>345</v>
      </c>
      <c r="D115" s="275"/>
      <c r="E115" s="316"/>
      <c r="F115" s="275"/>
      <c r="G115" s="277"/>
    </row>
    <row r="116" spans="1:7" s="396" customFormat="1" ht="12.75">
      <c r="A116" s="410">
        <v>106</v>
      </c>
      <c r="B116" s="411"/>
      <c r="C116" s="411" t="s">
        <v>346</v>
      </c>
      <c r="D116" s="275"/>
      <c r="E116" s="316"/>
      <c r="F116" s="275"/>
      <c r="G116" s="277"/>
    </row>
    <row r="117" spans="1:7" s="396" customFormat="1" ht="12.75">
      <c r="A117" s="397" t="s">
        <v>347</v>
      </c>
      <c r="B117" s="398"/>
      <c r="C117" s="398" t="s">
        <v>348</v>
      </c>
      <c r="D117" s="394">
        <f>D118+D119+D120</f>
        <v>0</v>
      </c>
      <c r="E117" s="493">
        <f>E118+E119+E120</f>
        <v>0</v>
      </c>
      <c r="F117" s="394">
        <f>F118+F119+F120</f>
        <v>0</v>
      </c>
      <c r="G117" s="395">
        <f>G118+G119+G120</f>
        <v>0</v>
      </c>
    </row>
    <row r="118" spans="1:7" s="396" customFormat="1" ht="12.75">
      <c r="A118" s="410">
        <v>107</v>
      </c>
      <c r="B118" s="411"/>
      <c r="C118" s="411" t="s">
        <v>349</v>
      </c>
      <c r="D118" s="275"/>
      <c r="E118" s="316"/>
      <c r="F118" s="275"/>
      <c r="G118" s="277"/>
    </row>
    <row r="119" spans="1:7" s="396" customFormat="1" ht="12.75">
      <c r="A119" s="410">
        <v>108</v>
      </c>
      <c r="B119" s="411"/>
      <c r="C119" s="411" t="s">
        <v>350</v>
      </c>
      <c r="D119" s="275"/>
      <c r="E119" s="316"/>
      <c r="F119" s="275"/>
      <c r="G119" s="277"/>
    </row>
    <row r="120" spans="1:7" s="409" customFormat="1" ht="25.5">
      <c r="A120" s="414">
        <v>109</v>
      </c>
      <c r="B120" s="415"/>
      <c r="C120" s="415" t="s">
        <v>351</v>
      </c>
      <c r="D120" s="281"/>
      <c r="E120" s="281"/>
      <c r="F120" s="281"/>
      <c r="G120" s="496"/>
    </row>
    <row r="121" spans="1:7" s="396" customFormat="1" ht="12.75">
      <c r="A121" s="397">
        <v>14</v>
      </c>
      <c r="B121" s="398"/>
      <c r="C121" s="398" t="s">
        <v>352</v>
      </c>
      <c r="D121" s="394">
        <f>SUM(D122:D130)</f>
        <v>0</v>
      </c>
      <c r="E121" s="394">
        <f>SUM(E122:E130)</f>
        <v>0</v>
      </c>
      <c r="F121" s="394">
        <f>SUM(F122:F130)</f>
        <v>0</v>
      </c>
      <c r="G121" s="394">
        <f>SUM(G122:G130)</f>
        <v>0</v>
      </c>
    </row>
    <row r="122" spans="1:7" s="396" customFormat="1" ht="12.75">
      <c r="A122" s="410" t="s">
        <v>353</v>
      </c>
      <c r="B122" s="411"/>
      <c r="C122" s="411" t="s">
        <v>354</v>
      </c>
      <c r="D122" s="275"/>
      <c r="E122" s="316"/>
      <c r="F122" s="275"/>
      <c r="G122" s="277"/>
    </row>
    <row r="123" spans="1:7" s="396" customFormat="1" ht="12.75">
      <c r="A123" s="410">
        <v>144</v>
      </c>
      <c r="B123" s="411"/>
      <c r="C123" s="411" t="s">
        <v>312</v>
      </c>
      <c r="D123" s="275"/>
      <c r="E123" s="316"/>
      <c r="F123" s="275"/>
      <c r="G123" s="277"/>
    </row>
    <row r="124" spans="1:7" s="396" customFormat="1" ht="12.75">
      <c r="A124" s="410">
        <v>145</v>
      </c>
      <c r="B124" s="411"/>
      <c r="C124" s="411" t="s">
        <v>355</v>
      </c>
      <c r="D124" s="275"/>
      <c r="E124" s="316"/>
      <c r="F124" s="275"/>
      <c r="G124" s="413"/>
    </row>
    <row r="125" spans="1:7" s="396" customFormat="1" ht="12.75">
      <c r="A125" s="410">
        <v>146</v>
      </c>
      <c r="B125" s="411"/>
      <c r="C125" s="411" t="s">
        <v>356</v>
      </c>
      <c r="D125" s="275"/>
      <c r="E125" s="316"/>
      <c r="F125" s="275"/>
      <c r="G125" s="413"/>
    </row>
    <row r="126" spans="1:7" s="409" customFormat="1" ht="29.25" customHeight="1">
      <c r="A126" s="414" t="s">
        <v>357</v>
      </c>
      <c r="B126" s="415"/>
      <c r="C126" s="415" t="s">
        <v>358</v>
      </c>
      <c r="D126" s="281"/>
      <c r="E126" s="281"/>
      <c r="F126" s="281"/>
      <c r="G126" s="417"/>
    </row>
    <row r="127" spans="1:7" s="396" customFormat="1" ht="12.75">
      <c r="A127" s="410">
        <v>1484</v>
      </c>
      <c r="B127" s="411"/>
      <c r="C127" s="411" t="s">
        <v>359</v>
      </c>
      <c r="D127" s="275"/>
      <c r="E127" s="316"/>
      <c r="F127" s="275"/>
      <c r="G127" s="413"/>
    </row>
    <row r="128" spans="1:7" s="396" customFormat="1" ht="12.75">
      <c r="A128" s="410">
        <v>1485</v>
      </c>
      <c r="B128" s="411"/>
      <c r="C128" s="411" t="s">
        <v>360</v>
      </c>
      <c r="D128" s="275"/>
      <c r="E128" s="316"/>
      <c r="F128" s="275"/>
      <c r="G128" s="413"/>
    </row>
    <row r="129" spans="1:7" s="396" customFormat="1" ht="12.75">
      <c r="A129" s="410">
        <v>1486</v>
      </c>
      <c r="B129" s="411"/>
      <c r="C129" s="411" t="s">
        <v>361</v>
      </c>
      <c r="D129" s="275"/>
      <c r="E129" s="316"/>
      <c r="F129" s="275"/>
      <c r="G129" s="413"/>
    </row>
    <row r="130" spans="1:7" s="396" customFormat="1" ht="12.75">
      <c r="A130" s="418">
        <v>1489</v>
      </c>
      <c r="B130" s="419"/>
      <c r="C130" s="419" t="s">
        <v>362</v>
      </c>
      <c r="D130" s="306"/>
      <c r="E130" s="497"/>
      <c r="F130" s="306"/>
      <c r="G130" s="421"/>
    </row>
    <row r="131" spans="1:7" s="250" customFormat="1" ht="12.75">
      <c r="A131" s="422">
        <v>1</v>
      </c>
      <c r="B131" s="423"/>
      <c r="C131" s="422" t="s">
        <v>363</v>
      </c>
      <c r="D131" s="424">
        <f>D111+D121</f>
        <v>0</v>
      </c>
      <c r="E131" s="424">
        <f>E111+E121</f>
        <v>0</v>
      </c>
      <c r="F131" s="424">
        <f>F111+F121</f>
        <v>0</v>
      </c>
      <c r="G131" s="424">
        <f>G111+G121</f>
        <v>0</v>
      </c>
    </row>
    <row r="132" spans="1:7" s="250" customFormat="1" ht="12.75">
      <c r="A132" s="362"/>
      <c r="B132" s="362"/>
      <c r="C132" s="363"/>
      <c r="D132" s="364"/>
      <c r="E132" s="364"/>
      <c r="F132" s="364"/>
      <c r="G132" s="364"/>
    </row>
    <row r="133" spans="1:7" s="396" customFormat="1" ht="12.75">
      <c r="A133" s="392">
        <v>20</v>
      </c>
      <c r="B133" s="393"/>
      <c r="C133" s="393" t="s">
        <v>364</v>
      </c>
      <c r="D133" s="425">
        <f>D134+D140</f>
        <v>0</v>
      </c>
      <c r="E133" s="425">
        <f>E134+E140</f>
        <v>0</v>
      </c>
      <c r="F133" s="425">
        <f>F134+F140</f>
        <v>0</v>
      </c>
      <c r="G133" s="426">
        <f>G134+G140</f>
        <v>0</v>
      </c>
    </row>
    <row r="134" spans="1:7" s="396" customFormat="1" ht="12.75">
      <c r="A134" s="427" t="s">
        <v>365</v>
      </c>
      <c r="B134" s="398"/>
      <c r="C134" s="398" t="s">
        <v>366</v>
      </c>
      <c r="D134" s="394">
        <f>D135+D136+D138+D139</f>
        <v>0</v>
      </c>
      <c r="E134" s="394">
        <f>E135+E136+E138+E139</f>
        <v>0</v>
      </c>
      <c r="F134" s="394">
        <f>F135+F136+F138+F139</f>
        <v>0</v>
      </c>
      <c r="G134" s="395">
        <f>G135+G136+G138+G139</f>
        <v>0</v>
      </c>
    </row>
    <row r="135" spans="1:7" s="429" customFormat="1" ht="12.75">
      <c r="A135" s="428">
        <v>200</v>
      </c>
      <c r="B135" s="411"/>
      <c r="C135" s="411" t="s">
        <v>367</v>
      </c>
      <c r="D135" s="275"/>
      <c r="E135" s="275"/>
      <c r="F135" s="275"/>
      <c r="G135" s="277"/>
    </row>
    <row r="136" spans="1:7" s="429" customFormat="1" ht="12.75">
      <c r="A136" s="428">
        <v>201</v>
      </c>
      <c r="B136" s="411"/>
      <c r="C136" s="411" t="s">
        <v>368</v>
      </c>
      <c r="D136" s="275"/>
      <c r="E136" s="275"/>
      <c r="F136" s="275"/>
      <c r="G136" s="277"/>
    </row>
    <row r="137" spans="1:7" s="429" customFormat="1" ht="12.75">
      <c r="A137" s="430" t="s">
        <v>369</v>
      </c>
      <c r="B137" s="400"/>
      <c r="C137" s="400" t="s">
        <v>370</v>
      </c>
      <c r="D137" s="271"/>
      <c r="E137" s="271"/>
      <c r="F137" s="271"/>
      <c r="G137" s="432"/>
    </row>
    <row r="138" spans="1:7" s="429" customFormat="1" ht="12.75">
      <c r="A138" s="428">
        <v>204</v>
      </c>
      <c r="B138" s="411"/>
      <c r="C138" s="411" t="s">
        <v>371</v>
      </c>
      <c r="D138" s="275"/>
      <c r="E138" s="275"/>
      <c r="F138" s="275"/>
      <c r="G138" s="413"/>
    </row>
    <row r="139" spans="1:7" s="429" customFormat="1" ht="12.75">
      <c r="A139" s="428">
        <v>205</v>
      </c>
      <c r="B139" s="411"/>
      <c r="C139" s="411" t="s">
        <v>372</v>
      </c>
      <c r="D139" s="275"/>
      <c r="E139" s="275"/>
      <c r="F139" s="275"/>
      <c r="G139" s="413"/>
    </row>
    <row r="140" spans="1:7" s="429" customFormat="1" ht="12.75">
      <c r="A140" s="427" t="s">
        <v>373</v>
      </c>
      <c r="B140" s="398"/>
      <c r="C140" s="398" t="s">
        <v>374</v>
      </c>
      <c r="D140" s="394">
        <f>D141+D143+D144</f>
        <v>0</v>
      </c>
      <c r="E140" s="394">
        <f>E141+E143+E144</f>
        <v>0</v>
      </c>
      <c r="F140" s="394">
        <f>F141+F143+F144</f>
        <v>0</v>
      </c>
      <c r="G140" s="395">
        <f>G141+G143+G144</f>
        <v>0</v>
      </c>
    </row>
    <row r="141" spans="1:7" s="429" customFormat="1" ht="12.75">
      <c r="A141" s="428">
        <v>206</v>
      </c>
      <c r="B141" s="411"/>
      <c r="C141" s="411" t="s">
        <v>375</v>
      </c>
      <c r="D141" s="275"/>
      <c r="E141" s="275"/>
      <c r="F141" s="275"/>
      <c r="G141" s="413"/>
    </row>
    <row r="142" spans="1:7" s="429" customFormat="1" ht="12.75">
      <c r="A142" s="430" t="s">
        <v>376</v>
      </c>
      <c r="B142" s="400"/>
      <c r="C142" s="400" t="s">
        <v>377</v>
      </c>
      <c r="D142" s="271"/>
      <c r="E142" s="271"/>
      <c r="F142" s="271"/>
      <c r="G142" s="432"/>
    </row>
    <row r="143" spans="1:7" s="429" customFormat="1" ht="12.75">
      <c r="A143" s="428">
        <v>208</v>
      </c>
      <c r="B143" s="411"/>
      <c r="C143" s="411" t="s">
        <v>378</v>
      </c>
      <c r="D143" s="275"/>
      <c r="E143" s="275"/>
      <c r="F143" s="275"/>
      <c r="G143" s="413"/>
    </row>
    <row r="144" spans="1:7" s="433" customFormat="1" ht="25.5">
      <c r="A144" s="414">
        <v>209</v>
      </c>
      <c r="B144" s="415"/>
      <c r="C144" s="415" t="s">
        <v>379</v>
      </c>
      <c r="D144" s="281"/>
      <c r="E144" s="281"/>
      <c r="F144" s="281"/>
      <c r="G144" s="417"/>
    </row>
    <row r="145" spans="1:7" s="396" customFormat="1" ht="12.75">
      <c r="A145" s="427">
        <v>29</v>
      </c>
      <c r="B145" s="398"/>
      <c r="C145" s="398" t="s">
        <v>380</v>
      </c>
      <c r="D145" s="412"/>
      <c r="E145" s="412"/>
      <c r="F145" s="412"/>
      <c r="G145" s="413"/>
    </row>
    <row r="146" spans="1:7" s="396" customFormat="1" ht="12.75">
      <c r="A146" s="434" t="s">
        <v>381</v>
      </c>
      <c r="B146" s="435"/>
      <c r="C146" s="435" t="s">
        <v>382</v>
      </c>
      <c r="D146" s="332"/>
      <c r="E146" s="332"/>
      <c r="F146" s="332"/>
      <c r="G146" s="436"/>
    </row>
    <row r="147" spans="1:7" s="250" customFormat="1" ht="12.75">
      <c r="A147" s="422">
        <v>2</v>
      </c>
      <c r="B147" s="423"/>
      <c r="C147" s="422" t="s">
        <v>383</v>
      </c>
      <c r="D147" s="424">
        <f>D133+D145</f>
        <v>0</v>
      </c>
      <c r="E147" s="424">
        <f>E133+E145</f>
        <v>0</v>
      </c>
      <c r="F147" s="424">
        <f>F133+F145</f>
        <v>0</v>
      </c>
      <c r="G147" s="424">
        <f>G133+G145</f>
        <v>0</v>
      </c>
    </row>
    <row r="148" spans="4:6" ht="7.5" customHeight="1">
      <c r="D148" s="250"/>
      <c r="F148" s="250"/>
    </row>
    <row r="149" spans="1:7" ht="13.5" customHeight="1">
      <c r="A149" s="437" t="s">
        <v>384</v>
      </c>
      <c r="B149" s="438"/>
      <c r="C149" s="439" t="s">
        <v>385</v>
      </c>
      <c r="D149" s="438"/>
      <c r="E149" s="438"/>
      <c r="F149" s="438"/>
      <c r="G149" s="438"/>
    </row>
    <row r="150" spans="1:7" ht="12.75">
      <c r="A150" s="509" t="s">
        <v>386</v>
      </c>
      <c r="B150" s="441"/>
      <c r="C150" s="441" t="s">
        <v>97</v>
      </c>
      <c r="D150" s="442">
        <f>D77+SUM(D8:D12)-D30-D31+D16-D33+D59+D63-D73+D64-D74-D54+D20-D35</f>
        <v>0</v>
      </c>
      <c r="E150" s="442">
        <f>E77+SUM(E8:E12)-E30-E31+E16-E33+E59+E63-E73+E64-E74-E54+E20-E35</f>
        <v>0</v>
      </c>
      <c r="F150" s="442">
        <f>F77+SUM(F8:F12)-F30-F31+F16-F33+F59+F63-F73+F64-F74-F54+F20-F35</f>
        <v>0</v>
      </c>
      <c r="G150" s="442">
        <f>G77+SUM(G8:G12)-G30-G31+G16-G33+G59+G63-G73+G64-G74-G54+G20-G35</f>
        <v>142770.56700000004</v>
      </c>
    </row>
    <row r="151" spans="1:7" ht="12.75">
      <c r="A151" s="510" t="s">
        <v>387</v>
      </c>
      <c r="B151" s="444"/>
      <c r="C151" s="444" t="s">
        <v>388</v>
      </c>
      <c r="D151" s="445">
        <f>IF(D177=0,0,D150/D177)</f>
        <v>0</v>
      </c>
      <c r="E151" s="445">
        <f>IF(E177=0,0,E150/E177)</f>
        <v>0</v>
      </c>
      <c r="F151" s="445">
        <f>IF(F177=0,0,F150/F177)</f>
        <v>0</v>
      </c>
      <c r="G151" s="445">
        <f>IF(G177=0,0,G150/G177)</f>
        <v>0.03849228603375552</v>
      </c>
    </row>
    <row r="152" spans="1:7" s="449" customFormat="1" ht="38.25">
      <c r="A152" s="511" t="s">
        <v>389</v>
      </c>
      <c r="B152" s="447"/>
      <c r="C152" s="447" t="s">
        <v>390</v>
      </c>
      <c r="D152" s="448">
        <f>IF(IF(D107=0,0,D$150/D107)&lt;0,"negativ",(IF(D107=0,0,D$150/D107)))</f>
        <v>0</v>
      </c>
      <c r="E152" s="448">
        <f>IF(IF(E107=0,0,E$150/E107)&lt;0,"negativ",(IF(E107=0,0,E$150/E107)))</f>
        <v>0</v>
      </c>
      <c r="F152" s="448">
        <f>IF(IF(F107=0,0,F$150/F107)&lt;0,"negativ",(IF(F107=0,0,F$150/F107)))</f>
        <v>0</v>
      </c>
      <c r="G152" s="448">
        <f>IF(IF(G107=0,0,G$150/G107)&lt;0,"negativ",(IF(G107=0,0,G$150/G107)))</f>
        <v>0.38282757409428414</v>
      </c>
    </row>
    <row r="153" spans="1:7" s="449" customFormat="1" ht="38.25">
      <c r="A153" s="512" t="s">
        <v>389</v>
      </c>
      <c r="B153" s="451"/>
      <c r="C153" s="451" t="s">
        <v>391</v>
      </c>
      <c r="D153" s="452">
        <f>IF(IF(D108=0,0,D$150/D108)&lt;0,"negativ",(IF(D108=0,0,D$150/D108)))</f>
        <v>0</v>
      </c>
      <c r="E153" s="452">
        <f>IF(IF(E108=0,0,E$150/E108)&lt;0,"negativ",(IF(E108=0,0,E$150/E108)))</f>
        <v>0</v>
      </c>
      <c r="F153" s="452">
        <f>IF(IF(F108=0,0,F$150/F108)&lt;0,"negativ",(IF(F108=0,0,F$150/F108)))</f>
        <v>0</v>
      </c>
      <c r="G153" s="452">
        <f>IF(IF(G108=0,0,G$150/G108)&lt;0,"negativ",(IF(G108=0,0,G$150/G108)))</f>
        <v>0.45901473779646806</v>
      </c>
    </row>
    <row r="154" spans="1:7" ht="51">
      <c r="A154" s="513" t="s">
        <v>392</v>
      </c>
      <c r="B154" s="454"/>
      <c r="C154" s="454" t="s">
        <v>393</v>
      </c>
      <c r="D154" s="455">
        <f>D150-D107</f>
        <v>0</v>
      </c>
      <c r="E154" s="455">
        <f>E150-E107</f>
        <v>0</v>
      </c>
      <c r="F154" s="455">
        <f>F150-F107</f>
        <v>0</v>
      </c>
      <c r="G154" s="455">
        <f>G150-G107</f>
        <v>-230166.43299999996</v>
      </c>
    </row>
    <row r="155" spans="1:7" ht="38.25">
      <c r="A155" s="512" t="s">
        <v>394</v>
      </c>
      <c r="B155" s="451"/>
      <c r="C155" s="451" t="s">
        <v>395</v>
      </c>
      <c r="D155" s="456">
        <f>D150-D108</f>
        <v>0</v>
      </c>
      <c r="E155" s="456">
        <f>E150-E108</f>
        <v>0</v>
      </c>
      <c r="F155" s="456">
        <f>F150-F108</f>
        <v>0</v>
      </c>
      <c r="G155" s="456">
        <f>G150-G108</f>
        <v>-168266.43299999996</v>
      </c>
    </row>
    <row r="156" spans="1:7" ht="12.75">
      <c r="A156" s="516" t="s">
        <v>396</v>
      </c>
      <c r="B156" s="441"/>
      <c r="C156" s="441" t="s">
        <v>397</v>
      </c>
      <c r="D156" s="457">
        <f>D135+D136-D137+D141-D142</f>
        <v>0</v>
      </c>
      <c r="E156" s="457">
        <f>E135+E136-E137+E141-E142</f>
        <v>0</v>
      </c>
      <c r="F156" s="457">
        <f>F135+F136-F137+F141-F142</f>
        <v>0</v>
      </c>
      <c r="G156" s="457">
        <f>G135+G136-G137+G141-G142</f>
        <v>0</v>
      </c>
    </row>
    <row r="157" spans="1:7" ht="12.75">
      <c r="A157" s="518" t="s">
        <v>398</v>
      </c>
      <c r="B157" s="459"/>
      <c r="C157" s="459" t="s">
        <v>399</v>
      </c>
      <c r="D157" s="460">
        <f>IF(D177=0,0,D156/D177)</f>
        <v>0</v>
      </c>
      <c r="E157" s="460">
        <f>IF(E177=0,0,E156/E177)</f>
        <v>0</v>
      </c>
      <c r="F157" s="460">
        <f>IF(F177=0,0,F156/F177)</f>
        <v>0</v>
      </c>
      <c r="G157" s="460">
        <f>IF(G177=0,0,G156/G177)</f>
        <v>0</v>
      </c>
    </row>
    <row r="158" spans="1:7" ht="12.75">
      <c r="A158" s="516" t="s">
        <v>400</v>
      </c>
      <c r="B158" s="441"/>
      <c r="C158" s="441" t="s">
        <v>401</v>
      </c>
      <c r="D158" s="457">
        <f>D133-D142-D111</f>
        <v>0</v>
      </c>
      <c r="E158" s="457">
        <f>E133-E142-E111</f>
        <v>0</v>
      </c>
      <c r="F158" s="457">
        <f>F133-F142-F111</f>
        <v>0</v>
      </c>
      <c r="G158" s="457">
        <f>G133-G142-G111</f>
        <v>0</v>
      </c>
    </row>
    <row r="159" spans="1:7" ht="12.75">
      <c r="A159" s="517" t="s">
        <v>402</v>
      </c>
      <c r="B159" s="444"/>
      <c r="C159" s="444" t="s">
        <v>403</v>
      </c>
      <c r="D159" s="461">
        <f>D121-D123-D124-D142-D145</f>
        <v>0</v>
      </c>
      <c r="E159" s="461">
        <f>E121-E123-E124-E142-E145</f>
        <v>0</v>
      </c>
      <c r="F159" s="461">
        <f>F121-F123-F124-F142-F145</f>
        <v>0</v>
      </c>
      <c r="G159" s="461">
        <f>G121-G123-G124-G142-G145</f>
        <v>0</v>
      </c>
    </row>
    <row r="160" spans="1:7" ht="12.75">
      <c r="A160" s="517" t="s">
        <v>404</v>
      </c>
      <c r="B160" s="444"/>
      <c r="C160" s="444" t="s">
        <v>405</v>
      </c>
      <c r="D160" s="462" t="str">
        <f>IF(D175=0,"-",1000*D158/D175)</f>
        <v>-</v>
      </c>
      <c r="E160" s="462" t="str">
        <f>IF(E175=0,"-",1000*E158/E175)</f>
        <v>-</v>
      </c>
      <c r="F160" s="462" t="str">
        <f>IF(F175=0,"-",1000*F158/F175)</f>
        <v>-</v>
      </c>
      <c r="G160" s="462">
        <f>IF(G175=0,"-",1000*G158/G175)</f>
        <v>0</v>
      </c>
    </row>
    <row r="161" spans="1:7" ht="12.75">
      <c r="A161" s="517" t="s">
        <v>404</v>
      </c>
      <c r="B161" s="444"/>
      <c r="C161" s="444" t="s">
        <v>406</v>
      </c>
      <c r="D161" s="461">
        <f>IF(D175=0,0,1000*(D159/D175))</f>
        <v>0</v>
      </c>
      <c r="E161" s="461">
        <f>IF(E175=0,0,1000*(E159/E175))</f>
        <v>0</v>
      </c>
      <c r="F161" s="461">
        <f>IF(F175=0,0,1000*(F159/F175))</f>
        <v>0</v>
      </c>
      <c r="G161" s="461">
        <f>IF(G175=0,0,1000*(G159/G175))</f>
        <v>0</v>
      </c>
    </row>
    <row r="162" spans="1:7" ht="12.75">
      <c r="A162" s="518" t="s">
        <v>407</v>
      </c>
      <c r="B162" s="459"/>
      <c r="C162" s="459" t="s">
        <v>408</v>
      </c>
      <c r="D162" s="460">
        <f>IF((D22+D23+D65+D66)=0,0,D158/(D22+D23+D65+D66))</f>
        <v>0</v>
      </c>
      <c r="E162" s="460">
        <f>IF((E22+E23+E65+E66)=0,0,E158/(E22+E23+E65+E66))</f>
        <v>0</v>
      </c>
      <c r="F162" s="460">
        <f>IF((F22+F23+F65+F66)=0,0,F158/(F22+F23+F65+F66))</f>
        <v>0</v>
      </c>
      <c r="G162" s="460">
        <f>IF((G22+G23+G65+G66)=0,0,G158/(G22+G23+G65+G66))</f>
        <v>0</v>
      </c>
    </row>
    <row r="163" spans="1:7" ht="12.75">
      <c r="A163" s="517" t="s">
        <v>409</v>
      </c>
      <c r="B163" s="444"/>
      <c r="C163" s="444" t="s">
        <v>380</v>
      </c>
      <c r="D163" s="442">
        <f>D145</f>
        <v>0</v>
      </c>
      <c r="E163" s="442">
        <f>E145</f>
        <v>0</v>
      </c>
      <c r="F163" s="442">
        <f>F145</f>
        <v>0</v>
      </c>
      <c r="G163" s="442">
        <f>G145</f>
        <v>0</v>
      </c>
    </row>
    <row r="164" spans="1:7" ht="38.25">
      <c r="A164" s="512" t="s">
        <v>411</v>
      </c>
      <c r="B164" s="463"/>
      <c r="C164" s="463" t="s">
        <v>412</v>
      </c>
      <c r="D164" s="452">
        <f>IF(D178=0,0,D146/D178)</f>
        <v>0</v>
      </c>
      <c r="E164" s="452">
        <f>IF(E178=0,0,E146/E178)</f>
        <v>0</v>
      </c>
      <c r="F164" s="452">
        <f>IF(F178=0,0,F146/F178)</f>
        <v>0</v>
      </c>
      <c r="G164" s="452">
        <f>IF(G178=0,0,G146/G178)</f>
        <v>0</v>
      </c>
    </row>
    <row r="165" spans="1:7" ht="12.75">
      <c r="A165" s="519" t="s">
        <v>413</v>
      </c>
      <c r="B165" s="464"/>
      <c r="C165" s="464" t="s">
        <v>414</v>
      </c>
      <c r="D165" s="465">
        <f>IF(D177=0,0,D180/D177)</f>
        <v>0</v>
      </c>
      <c r="E165" s="465">
        <f>IF(E177=0,0,E180/E177)</f>
        <v>0</v>
      </c>
      <c r="F165" s="465">
        <f>IF(F177=0,0,F180/F177)</f>
        <v>0</v>
      </c>
      <c r="G165" s="465">
        <f>IF(G177=0,0,G180/G177)</f>
        <v>0.05182993743114134</v>
      </c>
    </row>
    <row r="166" spans="1:7" ht="12.75">
      <c r="A166" s="517" t="s">
        <v>415</v>
      </c>
      <c r="B166" s="444"/>
      <c r="C166" s="444" t="s">
        <v>282</v>
      </c>
      <c r="D166" s="442">
        <f>D55</f>
        <v>0</v>
      </c>
      <c r="E166" s="442">
        <f>E55</f>
        <v>0</v>
      </c>
      <c r="F166" s="442">
        <f>F55</f>
        <v>0</v>
      </c>
      <c r="G166" s="442">
        <f>G55</f>
        <v>146643.96900000004</v>
      </c>
    </row>
    <row r="167" spans="1:7" ht="12.75">
      <c r="A167" s="518" t="s">
        <v>416</v>
      </c>
      <c r="B167" s="459"/>
      <c r="C167" s="459" t="s">
        <v>417</v>
      </c>
      <c r="D167" s="460">
        <f>IF(0=D111,0,(D44+D45+D46+D47+D48)/D111)</f>
        <v>0</v>
      </c>
      <c r="E167" s="460">
        <f>IF(0=E111,0,(E44+E45+E46+E47+E48)/E111)</f>
        <v>0</v>
      </c>
      <c r="F167" s="460">
        <f>IF(0=F111,0,(F44+F45+F46+F47+F48)/F111)</f>
        <v>0</v>
      </c>
      <c r="G167" s="460">
        <f>IF(0=G111,0,(G44+G45+G46+G47+G48)/G111)</f>
        <v>0</v>
      </c>
    </row>
    <row r="168" spans="1:7" ht="12.75">
      <c r="A168" s="517" t="s">
        <v>418</v>
      </c>
      <c r="B168" s="441"/>
      <c r="C168" s="441" t="s">
        <v>419</v>
      </c>
      <c r="D168" s="442">
        <f>D38-D44</f>
        <v>0</v>
      </c>
      <c r="E168" s="442">
        <f>E38-E44</f>
        <v>0</v>
      </c>
      <c r="F168" s="442">
        <f>F38-F44</f>
        <v>0</v>
      </c>
      <c r="G168" s="442">
        <f>G38-G44</f>
        <v>57203.32000000001</v>
      </c>
    </row>
    <row r="169" spans="1:7" ht="12.75">
      <c r="A169" s="518" t="s">
        <v>420</v>
      </c>
      <c r="B169" s="459"/>
      <c r="C169" s="459" t="s">
        <v>421</v>
      </c>
      <c r="D169" s="445">
        <f>IF(D177=0,0,D168/D177)</f>
        <v>0</v>
      </c>
      <c r="E169" s="445">
        <f>IF(E177=0,0,E168/E177)</f>
        <v>0</v>
      </c>
      <c r="F169" s="445">
        <f>IF(F177=0,0,F168/F177)</f>
        <v>0</v>
      </c>
      <c r="G169" s="445">
        <f>IF(G177=0,0,G168/G177)</f>
        <v>0.01542255243351697</v>
      </c>
    </row>
    <row r="170" spans="1:7" ht="12.75">
      <c r="A170" s="517" t="s">
        <v>422</v>
      </c>
      <c r="B170" s="444"/>
      <c r="C170" s="444" t="s">
        <v>423</v>
      </c>
      <c r="D170" s="442">
        <f>SUM(D82:D87)+SUM(D89:D94)</f>
        <v>0</v>
      </c>
      <c r="E170" s="442">
        <f>SUM(E82:E87)+SUM(E89:E94)</f>
        <v>0</v>
      </c>
      <c r="F170" s="442">
        <f>SUM(F82:F87)+SUM(F89:F94)</f>
        <v>0</v>
      </c>
      <c r="G170" s="442">
        <f>SUM(G82:G87)+SUM(G89:G94)</f>
        <v>401187</v>
      </c>
    </row>
    <row r="171" spans="1:7" ht="12.75">
      <c r="A171" s="517" t="s">
        <v>424</v>
      </c>
      <c r="B171" s="444"/>
      <c r="C171" s="444" t="s">
        <v>425</v>
      </c>
      <c r="D171" s="461">
        <f>SUM(D96:D102)+SUM(D104:D105)</f>
        <v>0</v>
      </c>
      <c r="E171" s="461">
        <f>SUM(E96:E102)+SUM(E104:E105)</f>
        <v>0</v>
      </c>
      <c r="F171" s="461">
        <f>SUM(F96:F102)+SUM(F104:F105)</f>
        <v>0</v>
      </c>
      <c r="G171" s="461">
        <f>SUM(G96:G102)+SUM(G104:G105)</f>
        <v>28250</v>
      </c>
    </row>
    <row r="172" spans="1:7" ht="12.75">
      <c r="A172" s="519" t="s">
        <v>413</v>
      </c>
      <c r="B172" s="464"/>
      <c r="C172" s="464" t="s">
        <v>426</v>
      </c>
      <c r="D172" s="465">
        <f>IF(D184=0,0,D170/D184)</f>
        <v>0</v>
      </c>
      <c r="E172" s="465">
        <f>IF(E184=0,0,E170/E184)</f>
        <v>0</v>
      </c>
      <c r="F172" s="465">
        <f>IF(F184=0,0,F170/F184)</f>
        <v>0</v>
      </c>
      <c r="G172" s="465">
        <f>IF(G184=0,0,G170/G184)</f>
        <v>0.10112256724314601</v>
      </c>
    </row>
    <row r="173" ht="12.75"/>
    <row r="174" spans="1:7" ht="12.75">
      <c r="A174" s="467" t="s">
        <v>427</v>
      </c>
      <c r="B174" s="468"/>
      <c r="C174" s="467"/>
      <c r="D174" s="364"/>
      <c r="E174" s="364"/>
      <c r="F174" s="364"/>
      <c r="G174" s="364"/>
    </row>
    <row r="175" spans="1:7" s="260" customFormat="1" ht="12.75">
      <c r="A175" s="468" t="s">
        <v>428</v>
      </c>
      <c r="B175" s="468"/>
      <c r="C175" s="468" t="s">
        <v>429</v>
      </c>
      <c r="D175" s="470"/>
      <c r="E175" s="470"/>
      <c r="F175" s="472"/>
      <c r="G175" s="472">
        <v>192560</v>
      </c>
    </row>
    <row r="176" spans="1:7" ht="12.75">
      <c r="A176" s="467" t="s">
        <v>430</v>
      </c>
      <c r="B176" s="468"/>
      <c r="C176" s="468"/>
      <c r="D176" s="468"/>
      <c r="E176" s="468"/>
      <c r="F176" s="468"/>
      <c r="G176" s="468"/>
    </row>
    <row r="177" spans="1:7" ht="12.75">
      <c r="A177" s="468" t="s">
        <v>431</v>
      </c>
      <c r="B177" s="468"/>
      <c r="C177" s="468" t="s">
        <v>432</v>
      </c>
      <c r="D177" s="472">
        <f>SUM(D22:D32)+SUM(D44:D53)+SUM(D65:D72)+D75</f>
        <v>0</v>
      </c>
      <c r="E177" s="472">
        <f>SUM(E22:E32)+SUM(E44:E53)+SUM(E65:E72)+E75</f>
        <v>0</v>
      </c>
      <c r="F177" s="472">
        <f>SUM(F22:F32)+SUM(F44:F53)+SUM(F65:F72)+F75</f>
        <v>0</v>
      </c>
      <c r="G177" s="472">
        <f>SUM(G22:G32)+SUM(G44:G53)+SUM(G65:G72)+G75</f>
        <v>3709069.575</v>
      </c>
    </row>
    <row r="178" spans="1:7" ht="12.75">
      <c r="A178" s="468" t="s">
        <v>433</v>
      </c>
      <c r="B178" s="468"/>
      <c r="C178" s="468" t="s">
        <v>434</v>
      </c>
      <c r="D178" s="472">
        <f>D78-D17-D20-D59-D63-D64</f>
        <v>0</v>
      </c>
      <c r="E178" s="472">
        <f>E78-E17-E20-E59-E63-E64</f>
        <v>0</v>
      </c>
      <c r="F178" s="472">
        <f>F78-F17-F20-F59-F63-F64</f>
        <v>0</v>
      </c>
      <c r="G178" s="472">
        <f>G78-G17-G20-G59-G63-G64</f>
        <v>3701336.532</v>
      </c>
    </row>
    <row r="179" spans="1:7" ht="12.75">
      <c r="A179" s="468"/>
      <c r="B179" s="468"/>
      <c r="C179" s="468" t="s">
        <v>435</v>
      </c>
      <c r="D179" s="472">
        <f>D178+D170</f>
        <v>0</v>
      </c>
      <c r="E179" s="472">
        <f>E178+E170</f>
        <v>0</v>
      </c>
      <c r="F179" s="472">
        <f>F178+F170</f>
        <v>0</v>
      </c>
      <c r="G179" s="472">
        <f>G178+G170</f>
        <v>4102523.532</v>
      </c>
    </row>
    <row r="180" spans="1:7" ht="12.75">
      <c r="A180" s="468" t="s">
        <v>436</v>
      </c>
      <c r="B180" s="468"/>
      <c r="C180" s="468" t="s">
        <v>437</v>
      </c>
      <c r="D180" s="472">
        <f>D38-D44+D8+D9+D10+D16-D33</f>
        <v>0</v>
      </c>
      <c r="E180" s="472">
        <f>E38-E44+E8+E9+E10+E16-E33</f>
        <v>0</v>
      </c>
      <c r="F180" s="472">
        <f>F38-F44+F8+F9+F10+F16-F33</f>
        <v>0</v>
      </c>
      <c r="G180" s="472">
        <f>G38-G44+G8+G9+G10+G16-G33</f>
        <v>192240.844</v>
      </c>
    </row>
    <row r="181" spans="1:7" ht="27" customHeight="1">
      <c r="A181" s="473" t="s">
        <v>438</v>
      </c>
      <c r="B181" s="474"/>
      <c r="C181" s="474" t="s">
        <v>439</v>
      </c>
      <c r="D181" s="475">
        <f>D22+D23+D24+D25+D26+D29+SUM(D44:D47)+SUM(D49:D53)-D54+D32-D33+SUM(D65:D70)+D72</f>
        <v>0</v>
      </c>
      <c r="E181" s="475">
        <f>E22+E23+E24+E25+E26+E29+SUM(E44:E47)+SUM(E49:E53)-E54+E32-E33+SUM(E65:E70)+E72</f>
        <v>0</v>
      </c>
      <c r="F181" s="475">
        <f>F22+F23+F24+F25+F26+F29+SUM(F44:F47)+SUM(F49:F53)-F54+F32-F33+SUM(F65:F70)+F72</f>
        <v>0</v>
      </c>
      <c r="G181" s="475">
        <f>G22+G23+G24+G25+G26+G29+SUM(G44:G47)+SUM(G49:G53)-G54+G32-G33+SUM(G65:G70)+G72</f>
        <v>3709069.575</v>
      </c>
    </row>
    <row r="182" spans="1:7" ht="12.75">
      <c r="A182" s="474" t="s">
        <v>440</v>
      </c>
      <c r="B182" s="474"/>
      <c r="C182" s="474" t="s">
        <v>441</v>
      </c>
      <c r="D182" s="475">
        <f>D181+D171</f>
        <v>0</v>
      </c>
      <c r="E182" s="475">
        <f>E181+E171</f>
        <v>0</v>
      </c>
      <c r="F182" s="475">
        <f>F181+F171</f>
        <v>0</v>
      </c>
      <c r="G182" s="475">
        <f>G181+G171</f>
        <v>3737319.575</v>
      </c>
    </row>
    <row r="183" spans="1:7" ht="12.75">
      <c r="A183" s="474" t="s">
        <v>442</v>
      </c>
      <c r="B183" s="474"/>
      <c r="C183" s="474" t="s">
        <v>443</v>
      </c>
      <c r="D183" s="475">
        <f>D4+D5-D7+D38+D39+D40+D41+D43+D13-D16+D57+D58+D60+D61+D62</f>
        <v>0</v>
      </c>
      <c r="E183" s="475">
        <f>E4+E5-E7+E38+E39+E40+E41+E43+E13-E16+E57+E58+E60+E61+E62</f>
        <v>0</v>
      </c>
      <c r="F183" s="475">
        <f>F4+F5-F7+F38+F39+F40+F41+F43+F13-F16+F57+F58+F60+F61+F62</f>
        <v>0</v>
      </c>
      <c r="G183" s="475">
        <f>G4+G5-G7+G38+G39+G40+G41+G43+G13-G16+G57+G58+G60+G61+G62</f>
        <v>3566147.008</v>
      </c>
    </row>
    <row r="184" spans="1:7" ht="12.75">
      <c r="A184" s="474" t="s">
        <v>444</v>
      </c>
      <c r="B184" s="474"/>
      <c r="C184" s="474" t="s">
        <v>445</v>
      </c>
      <c r="D184" s="475">
        <f>D183+D170</f>
        <v>0</v>
      </c>
      <c r="E184" s="475">
        <f>E183+E170</f>
        <v>0</v>
      </c>
      <c r="F184" s="475">
        <f>F183+F170</f>
        <v>0</v>
      </c>
      <c r="G184" s="475">
        <f>G183+G170</f>
        <v>3967334.008</v>
      </c>
    </row>
    <row r="185" spans="1:7" ht="12.75">
      <c r="A185" s="474"/>
      <c r="B185" s="474"/>
      <c r="C185" s="474" t="s">
        <v>446</v>
      </c>
      <c r="D185" s="475">
        <f aca="true" t="shared" si="0" ref="D185:G186">D181-D183</f>
        <v>0</v>
      </c>
      <c r="E185" s="475">
        <f t="shared" si="0"/>
        <v>0</v>
      </c>
      <c r="F185" s="475">
        <f t="shared" si="0"/>
        <v>0</v>
      </c>
      <c r="G185" s="475">
        <f t="shared" si="0"/>
        <v>142922.56700000027</v>
      </c>
    </row>
    <row r="186" spans="1:7" ht="12.75">
      <c r="A186" s="474"/>
      <c r="B186" s="474"/>
      <c r="C186" s="474" t="s">
        <v>447</v>
      </c>
      <c r="D186" s="475">
        <f t="shared" si="0"/>
        <v>0</v>
      </c>
      <c r="E186" s="475">
        <f t="shared" si="0"/>
        <v>0</v>
      </c>
      <c r="F186" s="475">
        <f t="shared" si="0"/>
        <v>0</v>
      </c>
      <c r="G186" s="475">
        <f t="shared" si="0"/>
        <v>-230014.43299999973</v>
      </c>
    </row>
    <row r="188" spans="1:3" ht="12.75">
      <c r="A188" s="596" t="s">
        <v>675</v>
      </c>
      <c r="B188" s="597"/>
      <c r="C188" s="597"/>
    </row>
    <row r="189" spans="1:3" ht="12.75">
      <c r="A189" s="328" t="s">
        <v>676</v>
      </c>
      <c r="B189" s="328"/>
      <c r="C189" s="328"/>
    </row>
  </sheetData>
  <sheetProtection/>
  <mergeCells count="2">
    <mergeCell ref="A3:C3"/>
    <mergeCell ref="A81:C81"/>
  </mergeCells>
  <printOptions/>
  <pageMargins left="0.25" right="0.25" top="0.75" bottom="0.75" header="0.3" footer="0.3"/>
  <pageSetup horizontalDpi="600" verticalDpi="600" orientation="landscape" paperSize="9" r:id="rId3"/>
  <headerFooter alignWithMargins="0">
    <oddHeader>&amp;LFachgruppe für kantonale Finanzfragen (FkF)
Groupe d'études pour les finances cantonales
&amp;CRechnung 2011 - Budget 2013
Compte 2011 - Budget 2013&amp;RZürich, 12.9.2013</oddHeader>
    <oddFooter>&amp;LQuelle/Source: FkF Sept. 2013</oddFooter>
  </headerFooter>
  <rowBreaks count="2" manualBreakCount="2">
    <brk id="79" max="6" man="1"/>
    <brk id="147" max="6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86"/>
  <sheetViews>
    <sheetView zoomScale="115" zoomScaleNormal="115" zoomScalePageLayoutView="0" workbookViewId="0" topLeftCell="A1">
      <selection activeCell="A1" sqref="A1:G186"/>
    </sheetView>
  </sheetViews>
  <sheetFormatPr defaultColWidth="11.421875" defaultRowHeight="12.75"/>
  <cols>
    <col min="1" max="1" width="15.140625" style="252" customWidth="1"/>
    <col min="2" max="2" width="3.7109375" style="252" customWidth="1"/>
    <col min="3" max="3" width="39.140625" style="252" customWidth="1"/>
    <col min="4" max="4" width="12.7109375" style="252" customWidth="1"/>
    <col min="5" max="5" width="11.421875" style="252" customWidth="1"/>
    <col min="6" max="6" width="12.7109375" style="252" customWidth="1"/>
    <col min="7" max="7" width="11.421875" style="252" customWidth="1"/>
    <col min="8" max="8" width="8.57421875" style="252" bestFit="1" customWidth="1"/>
    <col min="9" max="16384" width="11.421875" style="252" customWidth="1"/>
  </cols>
  <sheetData>
    <row r="1" spans="1:55" s="243" customFormat="1" ht="18" customHeight="1">
      <c r="A1" s="476" t="s">
        <v>220</v>
      </c>
      <c r="B1" s="476" t="s">
        <v>677</v>
      </c>
      <c r="C1" s="476" t="s">
        <v>678</v>
      </c>
      <c r="D1" s="241" t="s">
        <v>22</v>
      </c>
      <c r="E1" s="240" t="s">
        <v>105</v>
      </c>
      <c r="F1" s="241" t="s">
        <v>22</v>
      </c>
      <c r="G1" s="240" t="s">
        <v>105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7" s="249" customFormat="1" ht="15" customHeight="1">
      <c r="A2" s="244"/>
      <c r="B2" s="245"/>
      <c r="C2" s="246" t="s">
        <v>222</v>
      </c>
      <c r="D2" s="248">
        <v>2011</v>
      </c>
      <c r="E2" s="247">
        <v>2012</v>
      </c>
      <c r="F2" s="248">
        <v>2012</v>
      </c>
      <c r="G2" s="247">
        <v>2013</v>
      </c>
    </row>
    <row r="3" spans="1:7" ht="15" customHeight="1">
      <c r="A3" s="609" t="s">
        <v>223</v>
      </c>
      <c r="B3" s="610"/>
      <c r="C3" s="610"/>
      <c r="D3" s="250"/>
      <c r="F3" s="250"/>
      <c r="G3" s="253" t="s">
        <v>103</v>
      </c>
    </row>
    <row r="4" spans="1:7" s="260" customFormat="1" ht="12.75" customHeight="1">
      <c r="A4" s="479">
        <v>30</v>
      </c>
      <c r="B4" s="480"/>
      <c r="C4" s="256" t="s">
        <v>29</v>
      </c>
      <c r="D4" s="257">
        <v>1047746.1</v>
      </c>
      <c r="E4" s="257">
        <v>638694.7</v>
      </c>
      <c r="F4" s="257">
        <v>633135.5</v>
      </c>
      <c r="G4" s="583">
        <v>641853.9</v>
      </c>
    </row>
    <row r="5" spans="1:7" s="260" customFormat="1" ht="12.75" customHeight="1">
      <c r="A5" s="261">
        <v>31</v>
      </c>
      <c r="B5" s="262"/>
      <c r="C5" s="263" t="s">
        <v>224</v>
      </c>
      <c r="D5" s="264">
        <v>407193.4</v>
      </c>
      <c r="E5" s="264">
        <v>260648.3</v>
      </c>
      <c r="F5" s="275">
        <v>236174.2</v>
      </c>
      <c r="G5" s="319">
        <v>254949.7</v>
      </c>
    </row>
    <row r="6" spans="1:7" s="260" customFormat="1" ht="12.75" customHeight="1">
      <c r="A6" s="268" t="s">
        <v>32</v>
      </c>
      <c r="B6" s="269"/>
      <c r="C6" s="270" t="s">
        <v>225</v>
      </c>
      <c r="D6" s="271">
        <v>36379</v>
      </c>
      <c r="E6" s="271">
        <v>29873.3</v>
      </c>
      <c r="F6" s="271">
        <v>25720.4</v>
      </c>
      <c r="G6" s="401">
        <v>29870.5</v>
      </c>
    </row>
    <row r="7" spans="1:7" s="260" customFormat="1" ht="12.75" customHeight="1">
      <c r="A7" s="268" t="s">
        <v>226</v>
      </c>
      <c r="B7" s="269"/>
      <c r="C7" s="270" t="s">
        <v>227</v>
      </c>
      <c r="D7" s="271">
        <v>23891</v>
      </c>
      <c r="E7" s="271">
        <v>26962</v>
      </c>
      <c r="F7" s="271">
        <v>24774</v>
      </c>
      <c r="G7" s="401">
        <v>25531.2</v>
      </c>
    </row>
    <row r="8" spans="1:7" s="260" customFormat="1" ht="12.75" customHeight="1">
      <c r="A8" s="274">
        <v>330</v>
      </c>
      <c r="B8" s="262"/>
      <c r="C8" s="263" t="s">
        <v>228</v>
      </c>
      <c r="D8" s="275">
        <v>73237.7</v>
      </c>
      <c r="E8" s="275">
        <v>69090.1</v>
      </c>
      <c r="F8" s="275">
        <v>59893.8</v>
      </c>
      <c r="G8" s="277">
        <v>63388.8</v>
      </c>
    </row>
    <row r="9" spans="1:7" s="260" customFormat="1" ht="12.75" customHeight="1">
      <c r="A9" s="274">
        <v>332</v>
      </c>
      <c r="B9" s="262"/>
      <c r="C9" s="263" t="s">
        <v>229</v>
      </c>
      <c r="D9" s="275">
        <v>0</v>
      </c>
      <c r="E9" s="275">
        <v>0</v>
      </c>
      <c r="F9" s="275">
        <v>0</v>
      </c>
      <c r="G9" s="277">
        <v>0</v>
      </c>
    </row>
    <row r="10" spans="1:7" s="260" customFormat="1" ht="12.75" customHeight="1">
      <c r="A10" s="274">
        <v>339</v>
      </c>
      <c r="B10" s="262"/>
      <c r="C10" s="263" t="s">
        <v>230</v>
      </c>
      <c r="D10" s="275">
        <v>0</v>
      </c>
      <c r="E10" s="275">
        <v>0</v>
      </c>
      <c r="F10" s="275">
        <v>0</v>
      </c>
      <c r="G10" s="277">
        <v>0</v>
      </c>
    </row>
    <row r="11" spans="1:7" s="260" customFormat="1" ht="12.75" customHeight="1">
      <c r="A11" s="261">
        <v>350</v>
      </c>
      <c r="B11" s="262"/>
      <c r="C11" s="263" t="s">
        <v>231</v>
      </c>
      <c r="D11" s="275">
        <v>24023.9</v>
      </c>
      <c r="E11" s="275">
        <v>1880</v>
      </c>
      <c r="F11" s="275">
        <v>23463.5</v>
      </c>
      <c r="G11" s="277">
        <v>23234</v>
      </c>
    </row>
    <row r="12" spans="1:7" s="285" customFormat="1" ht="12.75">
      <c r="A12" s="278">
        <v>351</v>
      </c>
      <c r="B12" s="279"/>
      <c r="C12" s="280" t="s">
        <v>232</v>
      </c>
      <c r="D12" s="346">
        <v>268.5</v>
      </c>
      <c r="E12" s="282">
        <v>20230</v>
      </c>
      <c r="F12" s="282">
        <v>0</v>
      </c>
      <c r="G12" s="584">
        <v>56.5</v>
      </c>
    </row>
    <row r="13" spans="1:7" s="260" customFormat="1" ht="12.75" customHeight="1">
      <c r="A13" s="261">
        <v>36</v>
      </c>
      <c r="B13" s="262"/>
      <c r="C13" s="263" t="s">
        <v>233</v>
      </c>
      <c r="D13" s="275">
        <v>1167975.4</v>
      </c>
      <c r="E13" s="264">
        <v>1407236.4</v>
      </c>
      <c r="F13" s="271">
        <v>1393313</v>
      </c>
      <c r="G13" s="401">
        <v>1391278</v>
      </c>
    </row>
    <row r="14" spans="1:7" s="260" customFormat="1" ht="12.75" customHeight="1">
      <c r="A14" s="287" t="s">
        <v>234</v>
      </c>
      <c r="B14" s="262"/>
      <c r="C14" s="288" t="s">
        <v>235</v>
      </c>
      <c r="D14" s="271">
        <v>79123.1</v>
      </c>
      <c r="E14" s="323">
        <v>237610</v>
      </c>
      <c r="F14" s="271">
        <v>232136</v>
      </c>
      <c r="G14" s="401">
        <v>251894</v>
      </c>
    </row>
    <row r="15" spans="1:7" s="260" customFormat="1" ht="12.75" customHeight="1">
      <c r="A15" s="287" t="s">
        <v>236</v>
      </c>
      <c r="B15" s="262"/>
      <c r="C15" s="288" t="s">
        <v>237</v>
      </c>
      <c r="D15" s="271">
        <v>83409.9</v>
      </c>
      <c r="E15" s="323">
        <v>92104</v>
      </c>
      <c r="F15" s="271">
        <v>147766</v>
      </c>
      <c r="G15" s="401">
        <v>171732</v>
      </c>
    </row>
    <row r="16" spans="1:7" s="297" customFormat="1" ht="26.25" customHeight="1">
      <c r="A16" s="287" t="s">
        <v>238</v>
      </c>
      <c r="B16" s="483"/>
      <c r="C16" s="288" t="s">
        <v>239</v>
      </c>
      <c r="D16" s="293">
        <v>61058.6</v>
      </c>
      <c r="E16" s="294">
        <v>60600</v>
      </c>
      <c r="F16" s="293">
        <v>54478</v>
      </c>
      <c r="G16" s="585">
        <v>0</v>
      </c>
    </row>
    <row r="17" spans="1:8" s="299" customFormat="1" ht="12.75">
      <c r="A17" s="261">
        <v>37</v>
      </c>
      <c r="B17" s="262"/>
      <c r="C17" s="263" t="s">
        <v>240</v>
      </c>
      <c r="D17" s="316">
        <v>92134.8</v>
      </c>
      <c r="E17" s="264">
        <v>87611.9</v>
      </c>
      <c r="F17" s="316">
        <v>92390.5</v>
      </c>
      <c r="G17" s="586">
        <v>91091.948</v>
      </c>
      <c r="H17" s="260"/>
    </row>
    <row r="18" spans="1:8" s="299" customFormat="1" ht="12.75">
      <c r="A18" s="322" t="s">
        <v>241</v>
      </c>
      <c r="B18" s="269"/>
      <c r="C18" s="270" t="s">
        <v>242</v>
      </c>
      <c r="D18" s="485">
        <v>376.1</v>
      </c>
      <c r="E18" s="323">
        <v>782.6</v>
      </c>
      <c r="F18" s="485">
        <v>637</v>
      </c>
      <c r="G18" s="587">
        <v>817.6</v>
      </c>
      <c r="H18" s="318"/>
    </row>
    <row r="19" spans="1:8" s="299" customFormat="1" ht="12.75">
      <c r="A19" s="322" t="s">
        <v>243</v>
      </c>
      <c r="B19" s="269"/>
      <c r="C19" s="270" t="s">
        <v>244</v>
      </c>
      <c r="D19" s="485">
        <v>56156.4</v>
      </c>
      <c r="E19" s="323">
        <v>55750</v>
      </c>
      <c r="F19" s="485">
        <v>55538</v>
      </c>
      <c r="G19" s="587">
        <v>55668</v>
      </c>
      <c r="H19" s="318"/>
    </row>
    <row r="20" spans="1:7" s="260" customFormat="1" ht="12.75" customHeight="1">
      <c r="A20" s="301">
        <v>39</v>
      </c>
      <c r="B20" s="302"/>
      <c r="C20" s="303" t="s">
        <v>245</v>
      </c>
      <c r="D20" s="306">
        <v>15672.5</v>
      </c>
      <c r="E20" s="304">
        <v>276</v>
      </c>
      <c r="F20" s="306">
        <v>175.9</v>
      </c>
      <c r="G20" s="588">
        <v>174.6</v>
      </c>
    </row>
    <row r="21" spans="1:7" ht="12.75" customHeight="1">
      <c r="A21" s="309"/>
      <c r="B21" s="309"/>
      <c r="C21" s="310" t="s">
        <v>246</v>
      </c>
      <c r="D21" s="311">
        <f>D4+D5+SUM(D8:D13)+D17</f>
        <v>2812579.8</v>
      </c>
      <c r="E21" s="311">
        <f>E4+E5+SUM(E8:E13)+E17</f>
        <v>2485391.4</v>
      </c>
      <c r="F21" s="311">
        <f>F4+F5+SUM(F8:F13)+F17</f>
        <v>2438370.5</v>
      </c>
      <c r="G21" s="311">
        <f>G4+G5+SUM(G8:G13)+G17</f>
        <v>2465852.848</v>
      </c>
    </row>
    <row r="22" spans="1:7" s="260" customFormat="1" ht="12.75" customHeight="1">
      <c r="A22" s="274" t="s">
        <v>247</v>
      </c>
      <c r="B22" s="262"/>
      <c r="C22" s="263" t="s">
        <v>248</v>
      </c>
      <c r="D22" s="275">
        <v>1332319.2</v>
      </c>
      <c r="E22" s="275">
        <v>1315760</v>
      </c>
      <c r="F22" s="275">
        <v>1371859.5</v>
      </c>
      <c r="G22" s="277">
        <v>1386985</v>
      </c>
    </row>
    <row r="23" spans="1:7" s="260" customFormat="1" ht="12.75" customHeight="1">
      <c r="A23" s="274" t="s">
        <v>249</v>
      </c>
      <c r="B23" s="262"/>
      <c r="C23" s="263" t="s">
        <v>250</v>
      </c>
      <c r="D23" s="275">
        <v>182005.3</v>
      </c>
      <c r="E23" s="275">
        <v>188400</v>
      </c>
      <c r="F23" s="275">
        <v>187404.4</v>
      </c>
      <c r="G23" s="277">
        <v>190400</v>
      </c>
    </row>
    <row r="24" spans="1:8" s="313" customFormat="1" ht="12.75" customHeight="1">
      <c r="A24" s="261">
        <v>41</v>
      </c>
      <c r="B24" s="262"/>
      <c r="C24" s="263" t="s">
        <v>251</v>
      </c>
      <c r="D24" s="275">
        <v>65525.3</v>
      </c>
      <c r="E24" s="275">
        <v>30569.9</v>
      </c>
      <c r="F24" s="275">
        <v>30735.8</v>
      </c>
      <c r="G24" s="277">
        <v>30643.283</v>
      </c>
      <c r="H24" s="260"/>
    </row>
    <row r="25" spans="1:7" s="260" customFormat="1" ht="12.75" customHeight="1">
      <c r="A25" s="314">
        <v>42</v>
      </c>
      <c r="B25" s="315"/>
      <c r="C25" s="263" t="s">
        <v>252</v>
      </c>
      <c r="D25" s="275">
        <v>456341.5</v>
      </c>
      <c r="E25" s="275">
        <v>153044.4</v>
      </c>
      <c r="F25" s="275">
        <v>142207.4</v>
      </c>
      <c r="G25" s="277">
        <v>153971.398</v>
      </c>
    </row>
    <row r="26" spans="1:8" s="318" customFormat="1" ht="12.75" customHeight="1">
      <c r="A26" s="278">
        <v>430</v>
      </c>
      <c r="B26" s="262"/>
      <c r="C26" s="263" t="s">
        <v>253</v>
      </c>
      <c r="D26" s="275">
        <v>43881.1</v>
      </c>
      <c r="E26" s="316">
        <v>1580.9</v>
      </c>
      <c r="F26" s="316">
        <v>1875.2</v>
      </c>
      <c r="G26" s="586">
        <v>1361.3</v>
      </c>
      <c r="H26" s="260"/>
    </row>
    <row r="27" spans="1:8" s="318" customFormat="1" ht="12.75" customHeight="1">
      <c r="A27" s="278">
        <v>431</v>
      </c>
      <c r="B27" s="262"/>
      <c r="C27" s="263" t="s">
        <v>254</v>
      </c>
      <c r="D27" s="275">
        <v>0</v>
      </c>
      <c r="E27" s="316">
        <v>0</v>
      </c>
      <c r="F27" s="316">
        <v>0</v>
      </c>
      <c r="G27" s="586">
        <v>0</v>
      </c>
      <c r="H27" s="260"/>
    </row>
    <row r="28" spans="1:8" s="318" customFormat="1" ht="12.75" customHeight="1">
      <c r="A28" s="278">
        <v>432</v>
      </c>
      <c r="B28" s="262"/>
      <c r="C28" s="263" t="s">
        <v>255</v>
      </c>
      <c r="D28" s="275">
        <v>0</v>
      </c>
      <c r="E28" s="316">
        <v>0</v>
      </c>
      <c r="F28" s="316">
        <v>0</v>
      </c>
      <c r="G28" s="586">
        <v>0</v>
      </c>
      <c r="H28" s="260"/>
    </row>
    <row r="29" spans="1:8" s="318" customFormat="1" ht="12.75" customHeight="1">
      <c r="A29" s="278">
        <v>439</v>
      </c>
      <c r="B29" s="262"/>
      <c r="C29" s="263" t="s">
        <v>256</v>
      </c>
      <c r="D29" s="275">
        <v>289.7</v>
      </c>
      <c r="E29" s="316">
        <v>146.5</v>
      </c>
      <c r="F29" s="316">
        <v>76.7</v>
      </c>
      <c r="G29" s="586">
        <v>198.5</v>
      </c>
      <c r="H29" s="260"/>
    </row>
    <row r="30" spans="1:7" s="260" customFormat="1" ht="25.5">
      <c r="A30" s="278">
        <v>450</v>
      </c>
      <c r="B30" s="279"/>
      <c r="C30" s="280" t="s">
        <v>257</v>
      </c>
      <c r="D30" s="264">
        <v>1709.9</v>
      </c>
      <c r="E30" s="264">
        <v>851.91</v>
      </c>
      <c r="F30" s="264">
        <v>1636.2</v>
      </c>
      <c r="G30" s="319">
        <v>2271.9</v>
      </c>
    </row>
    <row r="31" spans="1:7" s="285" customFormat="1" ht="25.5">
      <c r="A31" s="278">
        <v>451</v>
      </c>
      <c r="B31" s="279"/>
      <c r="C31" s="280" t="s">
        <v>258</v>
      </c>
      <c r="D31" s="281">
        <v>16668.1</v>
      </c>
      <c r="E31" s="281">
        <v>19056.49</v>
      </c>
      <c r="F31" s="281">
        <v>0.5</v>
      </c>
      <c r="G31" s="496">
        <v>69951.58</v>
      </c>
    </row>
    <row r="32" spans="1:7" s="260" customFormat="1" ht="12.75" customHeight="1">
      <c r="A32" s="261">
        <v>46</v>
      </c>
      <c r="B32" s="262"/>
      <c r="C32" s="263" t="s">
        <v>259</v>
      </c>
      <c r="D32" s="275">
        <v>455875.1</v>
      </c>
      <c r="E32" s="275">
        <v>456279</v>
      </c>
      <c r="F32" s="275">
        <v>450409.9</v>
      </c>
      <c r="G32" s="277">
        <v>446409</v>
      </c>
    </row>
    <row r="33" spans="1:8" s="285" customFormat="1" ht="12.75" customHeight="1">
      <c r="A33" s="322" t="s">
        <v>260</v>
      </c>
      <c r="B33" s="269"/>
      <c r="C33" s="270" t="s">
        <v>261</v>
      </c>
      <c r="D33" s="271">
        <v>0</v>
      </c>
      <c r="E33" s="275">
        <v>0</v>
      </c>
      <c r="F33" s="271">
        <v>0</v>
      </c>
      <c r="G33" s="401">
        <v>0</v>
      </c>
      <c r="H33" s="562"/>
    </row>
    <row r="34" spans="1:7" s="260" customFormat="1" ht="15" customHeight="1">
      <c r="A34" s="261">
        <v>47</v>
      </c>
      <c r="B34" s="262"/>
      <c r="C34" s="263" t="s">
        <v>240</v>
      </c>
      <c r="D34" s="275">
        <v>92134.8</v>
      </c>
      <c r="E34" s="275">
        <v>87611.9</v>
      </c>
      <c r="F34" s="275">
        <v>92390.5</v>
      </c>
      <c r="G34" s="277">
        <v>91091.948</v>
      </c>
    </row>
    <row r="35" spans="1:7" s="260" customFormat="1" ht="15" customHeight="1">
      <c r="A35" s="301">
        <v>49</v>
      </c>
      <c r="B35" s="302"/>
      <c r="C35" s="303" t="s">
        <v>262</v>
      </c>
      <c r="D35" s="306">
        <v>15681.8</v>
      </c>
      <c r="E35" s="304">
        <v>276</v>
      </c>
      <c r="F35" s="306">
        <v>175.8</v>
      </c>
      <c r="G35" s="588">
        <v>174.674</v>
      </c>
    </row>
    <row r="36" spans="1:7" ht="13.5" customHeight="1">
      <c r="A36" s="309"/>
      <c r="B36" s="335"/>
      <c r="C36" s="310" t="s">
        <v>263</v>
      </c>
      <c r="D36" s="311">
        <f>D22+D23+D24+D25+D26+D27+D28+D29+D30+D31+D32+D34</f>
        <v>2646750</v>
      </c>
      <c r="E36" s="311">
        <f>E22+E23+E24+E25+E26+E27+E28+E29+E30+E31+E32+E34</f>
        <v>2253300.9999999995</v>
      </c>
      <c r="F36" s="311">
        <f>F22+F23+F24+F25+F26+F27+F28+F29+F30+F31+F32+F34</f>
        <v>2278596.0999999996</v>
      </c>
      <c r="G36" s="311">
        <f>G22+G23+G24+G25+G26+G27+G28+G29+G30+G31+G32+G34</f>
        <v>2373283.909</v>
      </c>
    </row>
    <row r="37" spans="1:7" s="487" customFormat="1" ht="15" customHeight="1">
      <c r="A37" s="309"/>
      <c r="B37" s="335"/>
      <c r="C37" s="310" t="s">
        <v>264</v>
      </c>
      <c r="D37" s="311">
        <f>D36-D21</f>
        <v>-165829.7999999998</v>
      </c>
      <c r="E37" s="311">
        <f>E36-E21</f>
        <v>-232090.40000000037</v>
      </c>
      <c r="F37" s="311">
        <f>F36-F21</f>
        <v>-159774.40000000037</v>
      </c>
      <c r="G37" s="311">
        <f>G36-G21</f>
        <v>-92568.93900000025</v>
      </c>
    </row>
    <row r="38" spans="1:8" s="285" customFormat="1" ht="15" customHeight="1">
      <c r="A38" s="274">
        <v>340</v>
      </c>
      <c r="B38" s="262"/>
      <c r="C38" s="263" t="s">
        <v>265</v>
      </c>
      <c r="D38" s="316">
        <v>29669.7</v>
      </c>
      <c r="E38" s="264">
        <v>29344.5</v>
      </c>
      <c r="F38" s="275">
        <v>29589.6</v>
      </c>
      <c r="G38" s="277">
        <v>28724.6</v>
      </c>
      <c r="H38" s="562"/>
    </row>
    <row r="39" spans="1:8" s="285" customFormat="1" ht="15" customHeight="1">
      <c r="A39" s="274">
        <v>341</v>
      </c>
      <c r="B39" s="262"/>
      <c r="C39" s="263" t="s">
        <v>266</v>
      </c>
      <c r="D39" s="316">
        <v>417.5</v>
      </c>
      <c r="E39" s="275">
        <v>70.3</v>
      </c>
      <c r="F39" s="275">
        <v>172</v>
      </c>
      <c r="G39" s="277">
        <v>70.3</v>
      </c>
      <c r="H39" s="562"/>
    </row>
    <row r="40" spans="1:8" s="285" customFormat="1" ht="15" customHeight="1">
      <c r="A40" s="274">
        <v>342</v>
      </c>
      <c r="B40" s="262"/>
      <c r="C40" s="263" t="s">
        <v>267</v>
      </c>
      <c r="D40" s="316">
        <v>5320</v>
      </c>
      <c r="E40" s="275">
        <v>763.8</v>
      </c>
      <c r="F40" s="275">
        <v>797.9</v>
      </c>
      <c r="G40" s="277">
        <v>1966.7</v>
      </c>
      <c r="H40" s="562"/>
    </row>
    <row r="41" spans="1:8" s="285" customFormat="1" ht="15" customHeight="1">
      <c r="A41" s="274">
        <v>343</v>
      </c>
      <c r="B41" s="262"/>
      <c r="C41" s="263" t="s">
        <v>268</v>
      </c>
      <c r="D41" s="316">
        <v>887.1</v>
      </c>
      <c r="E41" s="275">
        <v>730.2</v>
      </c>
      <c r="F41" s="275">
        <v>754.1</v>
      </c>
      <c r="G41" s="277">
        <v>781.9</v>
      </c>
      <c r="H41" s="562"/>
    </row>
    <row r="42" spans="1:8" s="285" customFormat="1" ht="15" customHeight="1">
      <c r="A42" s="274">
        <v>344</v>
      </c>
      <c r="B42" s="262"/>
      <c r="C42" s="263" t="s">
        <v>269</v>
      </c>
      <c r="D42" s="316">
        <v>464.1</v>
      </c>
      <c r="E42" s="275">
        <v>0</v>
      </c>
      <c r="F42" s="275">
        <v>1555.2</v>
      </c>
      <c r="G42" s="277">
        <v>0</v>
      </c>
      <c r="H42" s="562"/>
    </row>
    <row r="43" spans="1:8" s="285" customFormat="1" ht="15" customHeight="1">
      <c r="A43" s="274">
        <v>349</v>
      </c>
      <c r="B43" s="262"/>
      <c r="C43" s="263" t="s">
        <v>270</v>
      </c>
      <c r="D43" s="316">
        <v>2447.8</v>
      </c>
      <c r="E43" s="275">
        <v>1800</v>
      </c>
      <c r="F43" s="275">
        <v>-91.4</v>
      </c>
      <c r="G43" s="277">
        <v>2000</v>
      </c>
      <c r="H43" s="562"/>
    </row>
    <row r="44" spans="1:7" s="260" customFormat="1" ht="15" customHeight="1">
      <c r="A44" s="261">
        <v>440</v>
      </c>
      <c r="B44" s="262"/>
      <c r="C44" s="263" t="s">
        <v>271</v>
      </c>
      <c r="D44" s="316">
        <v>22256.9</v>
      </c>
      <c r="E44" s="264">
        <v>24170.1</v>
      </c>
      <c r="F44" s="275">
        <v>18590.3</v>
      </c>
      <c r="G44" s="277">
        <v>21079.289</v>
      </c>
    </row>
    <row r="45" spans="1:7" s="260" customFormat="1" ht="15" customHeight="1">
      <c r="A45" s="261">
        <v>441</v>
      </c>
      <c r="B45" s="262"/>
      <c r="C45" s="263" t="s">
        <v>272</v>
      </c>
      <c r="D45" s="316">
        <v>11368.5</v>
      </c>
      <c r="E45" s="264">
        <v>1000</v>
      </c>
      <c r="F45" s="275">
        <v>916.3</v>
      </c>
      <c r="G45" s="277">
        <v>1000</v>
      </c>
    </row>
    <row r="46" spans="1:7" s="260" customFormat="1" ht="15" customHeight="1">
      <c r="A46" s="261">
        <v>442</v>
      </c>
      <c r="B46" s="262"/>
      <c r="C46" s="263" t="s">
        <v>273</v>
      </c>
      <c r="D46" s="316">
        <v>4.4</v>
      </c>
      <c r="E46" s="264">
        <v>3</v>
      </c>
      <c r="F46" s="275">
        <v>4.3</v>
      </c>
      <c r="G46" s="277">
        <v>4</v>
      </c>
    </row>
    <row r="47" spans="1:7" s="260" customFormat="1" ht="15" customHeight="1">
      <c r="A47" s="261">
        <v>443</v>
      </c>
      <c r="B47" s="262"/>
      <c r="C47" s="263" t="s">
        <v>274</v>
      </c>
      <c r="D47" s="316">
        <v>9951.1</v>
      </c>
      <c r="E47" s="264">
        <v>8960</v>
      </c>
      <c r="F47" s="275">
        <v>24865.9</v>
      </c>
      <c r="G47" s="277">
        <v>9530</v>
      </c>
    </row>
    <row r="48" spans="1:7" s="260" customFormat="1" ht="15" customHeight="1">
      <c r="A48" s="261">
        <v>444</v>
      </c>
      <c r="B48" s="262"/>
      <c r="C48" s="263" t="s">
        <v>269</v>
      </c>
      <c r="D48" s="316">
        <v>80</v>
      </c>
      <c r="E48" s="264">
        <v>0</v>
      </c>
      <c r="F48" s="275">
        <v>96.4</v>
      </c>
      <c r="G48" s="277">
        <v>0</v>
      </c>
    </row>
    <row r="49" spans="1:7" s="260" customFormat="1" ht="15" customHeight="1">
      <c r="A49" s="261">
        <v>445</v>
      </c>
      <c r="B49" s="262"/>
      <c r="C49" s="263" t="s">
        <v>275</v>
      </c>
      <c r="D49" s="316">
        <v>1500.7</v>
      </c>
      <c r="E49" s="264">
        <v>1595</v>
      </c>
      <c r="F49" s="275">
        <v>4075.9</v>
      </c>
      <c r="G49" s="277">
        <v>1310</v>
      </c>
    </row>
    <row r="50" spans="1:7" s="260" customFormat="1" ht="15" customHeight="1">
      <c r="A50" s="261">
        <v>446</v>
      </c>
      <c r="B50" s="262"/>
      <c r="C50" s="263" t="s">
        <v>276</v>
      </c>
      <c r="D50" s="316">
        <v>48346.7</v>
      </c>
      <c r="E50" s="264">
        <v>55120</v>
      </c>
      <c r="F50" s="275">
        <v>52330.3</v>
      </c>
      <c r="G50" s="277">
        <v>55320</v>
      </c>
    </row>
    <row r="51" spans="1:7" s="260" customFormat="1" ht="15" customHeight="1">
      <c r="A51" s="261">
        <v>447</v>
      </c>
      <c r="B51" s="262"/>
      <c r="C51" s="263" t="s">
        <v>277</v>
      </c>
      <c r="D51" s="316">
        <v>15028.8</v>
      </c>
      <c r="E51" s="264">
        <v>18230.9</v>
      </c>
      <c r="F51" s="275">
        <v>17290.7</v>
      </c>
      <c r="G51" s="277">
        <v>13112.1</v>
      </c>
    </row>
    <row r="52" spans="1:7" s="260" customFormat="1" ht="15" customHeight="1">
      <c r="A52" s="261">
        <v>448</v>
      </c>
      <c r="B52" s="262"/>
      <c r="C52" s="263" t="s">
        <v>278</v>
      </c>
      <c r="D52" s="316">
        <v>0</v>
      </c>
      <c r="E52" s="264">
        <v>0</v>
      </c>
      <c r="F52" s="275">
        <v>0</v>
      </c>
      <c r="G52" s="277">
        <v>0</v>
      </c>
    </row>
    <row r="53" spans="1:7" s="260" customFormat="1" ht="15" customHeight="1">
      <c r="A53" s="261">
        <v>449</v>
      </c>
      <c r="B53" s="262"/>
      <c r="C53" s="263" t="s">
        <v>279</v>
      </c>
      <c r="D53" s="316">
        <v>1.8</v>
      </c>
      <c r="E53" s="264">
        <v>0</v>
      </c>
      <c r="F53" s="275">
        <v>32629.6</v>
      </c>
      <c r="G53" s="277">
        <v>0</v>
      </c>
    </row>
    <row r="54" spans="1:7" s="285" customFormat="1" ht="13.5" customHeight="1">
      <c r="A54" s="329" t="s">
        <v>280</v>
      </c>
      <c r="B54" s="330"/>
      <c r="C54" s="330" t="s">
        <v>281</v>
      </c>
      <c r="D54" s="488">
        <v>0</v>
      </c>
      <c r="E54" s="332">
        <v>0</v>
      </c>
      <c r="F54" s="332">
        <v>32630</v>
      </c>
      <c r="G54" s="436">
        <v>0</v>
      </c>
    </row>
    <row r="55" spans="1:7" ht="15" customHeight="1">
      <c r="A55" s="335"/>
      <c r="B55" s="335"/>
      <c r="C55" s="310" t="s">
        <v>282</v>
      </c>
      <c r="D55" s="311">
        <f>SUM(D44:D53)-SUM(D38:D43)</f>
        <v>69332.7</v>
      </c>
      <c r="E55" s="311">
        <f>SUM(E44:E53)-SUM(E38:E43)</f>
        <v>76370.2</v>
      </c>
      <c r="F55" s="311">
        <f>SUM(F44:F53)-SUM(F38:F43)</f>
        <v>118022.30000000002</v>
      </c>
      <c r="G55" s="311">
        <f>SUM(G44:G53)-SUM(G38:G43)</f>
        <v>67811.88900000001</v>
      </c>
    </row>
    <row r="56" spans="1:7" ht="14.25" customHeight="1">
      <c r="A56" s="335"/>
      <c r="B56" s="335"/>
      <c r="C56" s="310" t="s">
        <v>283</v>
      </c>
      <c r="D56" s="311">
        <f>D55+D37</f>
        <v>-96497.09999999982</v>
      </c>
      <c r="E56" s="311">
        <f>E55+E37</f>
        <v>-155720.20000000036</v>
      </c>
      <c r="F56" s="311">
        <f>F55+F37</f>
        <v>-41752.100000000355</v>
      </c>
      <c r="G56" s="311">
        <f>G55+G37</f>
        <v>-24757.050000000236</v>
      </c>
    </row>
    <row r="57" spans="1:7" s="260" customFormat="1" ht="15.75" customHeight="1">
      <c r="A57" s="336">
        <v>380</v>
      </c>
      <c r="B57" s="337"/>
      <c r="C57" s="338" t="s">
        <v>284</v>
      </c>
      <c r="D57" s="340">
        <v>2012.017</v>
      </c>
      <c r="E57" s="339">
        <v>0</v>
      </c>
      <c r="F57" s="340">
        <v>111000</v>
      </c>
      <c r="G57" s="342">
        <v>0</v>
      </c>
    </row>
    <row r="58" spans="1:7" s="260" customFormat="1" ht="15.75" customHeight="1">
      <c r="A58" s="336">
        <v>381</v>
      </c>
      <c r="B58" s="337"/>
      <c r="C58" s="338" t="s">
        <v>285</v>
      </c>
      <c r="D58" s="340">
        <v>0</v>
      </c>
      <c r="E58" s="339">
        <v>0</v>
      </c>
      <c r="F58" s="340">
        <v>0</v>
      </c>
      <c r="G58" s="342">
        <v>0</v>
      </c>
    </row>
    <row r="59" spans="1:8" s="285" customFormat="1" ht="25.5">
      <c r="A59" s="336">
        <v>383</v>
      </c>
      <c r="B59" s="279"/>
      <c r="C59" s="280" t="s">
        <v>286</v>
      </c>
      <c r="D59" s="344">
        <v>0</v>
      </c>
      <c r="E59" s="343">
        <v>0</v>
      </c>
      <c r="F59" s="344">
        <v>0</v>
      </c>
      <c r="G59" s="321">
        <v>0</v>
      </c>
      <c r="H59" s="562"/>
    </row>
    <row r="60" spans="1:8" s="285" customFormat="1" ht="12.75">
      <c r="A60" s="278">
        <v>3840</v>
      </c>
      <c r="B60" s="279"/>
      <c r="C60" s="280" t="s">
        <v>287</v>
      </c>
      <c r="D60" s="346">
        <v>0</v>
      </c>
      <c r="E60" s="346">
        <v>0</v>
      </c>
      <c r="F60" s="346">
        <v>0</v>
      </c>
      <c r="G60" s="482">
        <v>0</v>
      </c>
      <c r="H60" s="562"/>
    </row>
    <row r="61" spans="1:8" s="285" customFormat="1" ht="12.75">
      <c r="A61" s="278">
        <v>3841</v>
      </c>
      <c r="B61" s="279"/>
      <c r="C61" s="280" t="s">
        <v>288</v>
      </c>
      <c r="D61" s="346">
        <v>0</v>
      </c>
      <c r="E61" s="346">
        <v>0</v>
      </c>
      <c r="F61" s="346">
        <v>0</v>
      </c>
      <c r="G61" s="482">
        <v>0</v>
      </c>
      <c r="H61" s="562"/>
    </row>
    <row r="62" spans="1:8" s="285" customFormat="1" ht="12.75">
      <c r="A62" s="278">
        <v>386</v>
      </c>
      <c r="B62" s="350"/>
      <c r="C62" s="351" t="s">
        <v>289</v>
      </c>
      <c r="D62" s="346">
        <v>0</v>
      </c>
      <c r="E62" s="346">
        <v>0</v>
      </c>
      <c r="F62" s="346">
        <v>0</v>
      </c>
      <c r="G62" s="482">
        <v>0</v>
      </c>
      <c r="H62" s="562"/>
    </row>
    <row r="63" spans="1:8" s="285" customFormat="1" ht="25.5">
      <c r="A63" s="349">
        <v>387</v>
      </c>
      <c r="B63" s="279"/>
      <c r="C63" s="280" t="s">
        <v>290</v>
      </c>
      <c r="D63" s="346">
        <v>0</v>
      </c>
      <c r="E63" s="346">
        <v>0</v>
      </c>
      <c r="F63" s="346">
        <v>0</v>
      </c>
      <c r="G63" s="482">
        <v>0</v>
      </c>
      <c r="H63" s="562"/>
    </row>
    <row r="64" spans="1:8" s="285" customFormat="1" ht="12.75">
      <c r="A64" s="278">
        <v>389</v>
      </c>
      <c r="B64" s="533"/>
      <c r="C64" s="270" t="s">
        <v>57</v>
      </c>
      <c r="D64" s="271">
        <v>2085.4</v>
      </c>
      <c r="E64" s="271">
        <v>0</v>
      </c>
      <c r="F64" s="271">
        <v>0</v>
      </c>
      <c r="G64" s="273">
        <v>0</v>
      </c>
      <c r="H64" s="562"/>
    </row>
    <row r="65" spans="1:7" s="260" customFormat="1" ht="12.75">
      <c r="A65" s="559" t="s">
        <v>291</v>
      </c>
      <c r="B65" s="262"/>
      <c r="C65" s="263" t="s">
        <v>292</v>
      </c>
      <c r="D65" s="275">
        <v>0</v>
      </c>
      <c r="E65" s="275">
        <v>0</v>
      </c>
      <c r="F65" s="275">
        <v>0</v>
      </c>
      <c r="G65" s="276">
        <v>0</v>
      </c>
    </row>
    <row r="66" spans="1:7" s="355" customFormat="1" ht="25.5">
      <c r="A66" s="559" t="s">
        <v>293</v>
      </c>
      <c r="B66" s="354"/>
      <c r="C66" s="280" t="s">
        <v>294</v>
      </c>
      <c r="D66" s="344">
        <v>0</v>
      </c>
      <c r="E66" s="344">
        <v>0</v>
      </c>
      <c r="F66" s="344">
        <v>0</v>
      </c>
      <c r="G66" s="321">
        <v>0</v>
      </c>
    </row>
    <row r="67" spans="1:7" s="260" customFormat="1" ht="12.75">
      <c r="A67" s="353">
        <v>481</v>
      </c>
      <c r="B67" s="262"/>
      <c r="C67" s="263" t="s">
        <v>295</v>
      </c>
      <c r="D67" s="275">
        <v>0</v>
      </c>
      <c r="E67" s="275">
        <v>0</v>
      </c>
      <c r="F67" s="275">
        <v>0</v>
      </c>
      <c r="G67" s="276">
        <v>0</v>
      </c>
    </row>
    <row r="68" spans="1:7" s="260" customFormat="1" ht="12.75">
      <c r="A68" s="353">
        <v>482</v>
      </c>
      <c r="B68" s="262"/>
      <c r="C68" s="263" t="s">
        <v>296</v>
      </c>
      <c r="D68" s="275">
        <v>0</v>
      </c>
      <c r="E68" s="275"/>
      <c r="F68" s="275">
        <v>0</v>
      </c>
      <c r="G68" s="276">
        <v>0</v>
      </c>
    </row>
    <row r="69" spans="1:7" s="260" customFormat="1" ht="12.75">
      <c r="A69" s="353">
        <v>483</v>
      </c>
      <c r="B69" s="262"/>
      <c r="C69" s="263" t="s">
        <v>297</v>
      </c>
      <c r="D69" s="275">
        <v>17780</v>
      </c>
      <c r="E69" s="275">
        <v>0</v>
      </c>
      <c r="F69" s="275">
        <v>0</v>
      </c>
      <c r="G69" s="276">
        <v>0</v>
      </c>
    </row>
    <row r="70" spans="1:7" s="260" customFormat="1" ht="12.75">
      <c r="A70" s="353">
        <v>484</v>
      </c>
      <c r="B70" s="262"/>
      <c r="C70" s="263" t="s">
        <v>298</v>
      </c>
      <c r="D70" s="275">
        <v>0</v>
      </c>
      <c r="E70" s="275"/>
      <c r="F70" s="275">
        <v>0</v>
      </c>
      <c r="G70" s="276">
        <v>0</v>
      </c>
    </row>
    <row r="71" spans="1:7" s="260" customFormat="1" ht="12.75">
      <c r="A71" s="353">
        <v>485</v>
      </c>
      <c r="B71" s="262"/>
      <c r="C71" s="263" t="s">
        <v>299</v>
      </c>
      <c r="D71" s="275">
        <v>0</v>
      </c>
      <c r="E71" s="275">
        <v>0</v>
      </c>
      <c r="F71" s="275">
        <v>0</v>
      </c>
      <c r="G71" s="276">
        <v>0</v>
      </c>
    </row>
    <row r="72" spans="1:7" s="260" customFormat="1" ht="12.75">
      <c r="A72" s="353">
        <v>486</v>
      </c>
      <c r="B72" s="262"/>
      <c r="C72" s="263" t="s">
        <v>300</v>
      </c>
      <c r="D72" s="275">
        <v>0</v>
      </c>
      <c r="E72" s="275">
        <v>0</v>
      </c>
      <c r="F72" s="275">
        <v>0</v>
      </c>
      <c r="G72" s="276">
        <v>0</v>
      </c>
    </row>
    <row r="73" spans="1:7" s="285" customFormat="1" ht="12.75">
      <c r="A73" s="353">
        <v>487</v>
      </c>
      <c r="B73" s="269"/>
      <c r="C73" s="263" t="s">
        <v>301</v>
      </c>
      <c r="D73" s="264">
        <v>0</v>
      </c>
      <c r="E73" s="264">
        <v>0</v>
      </c>
      <c r="F73" s="275">
        <v>0</v>
      </c>
      <c r="G73" s="276">
        <v>0</v>
      </c>
    </row>
    <row r="74" spans="1:8" s="285" customFormat="1" ht="12.75">
      <c r="A74" s="353">
        <v>489</v>
      </c>
      <c r="B74" s="356"/>
      <c r="C74" s="303" t="s">
        <v>74</v>
      </c>
      <c r="D74" s="264">
        <v>63897.3</v>
      </c>
      <c r="E74" s="264">
        <v>127000</v>
      </c>
      <c r="F74" s="275">
        <v>120499.2</v>
      </c>
      <c r="G74" s="276">
        <v>0</v>
      </c>
      <c r="H74" s="562"/>
    </row>
    <row r="75" spans="1:8" s="285" customFormat="1" ht="12.75">
      <c r="A75" s="357" t="s">
        <v>302</v>
      </c>
      <c r="B75" s="356"/>
      <c r="C75" s="330" t="s">
        <v>303</v>
      </c>
      <c r="D75" s="275">
        <v>0</v>
      </c>
      <c r="E75" s="275">
        <v>0</v>
      </c>
      <c r="F75" s="275">
        <v>0</v>
      </c>
      <c r="G75" s="276">
        <v>0</v>
      </c>
      <c r="H75" s="562"/>
    </row>
    <row r="76" spans="1:7" ht="12.75">
      <c r="A76" s="309"/>
      <c r="B76" s="309"/>
      <c r="C76" s="310" t="s">
        <v>304</v>
      </c>
      <c r="D76" s="311">
        <f>SUM(D65:D74)-SUM(D57:D64)</f>
        <v>77579.883</v>
      </c>
      <c r="E76" s="311">
        <f>SUM(E65:E74)-SUM(E57:E64)</f>
        <v>127000</v>
      </c>
      <c r="F76" s="311">
        <f>SUM(F65:F74)-SUM(F57:F64)</f>
        <v>9499.199999999997</v>
      </c>
      <c r="G76" s="311">
        <f>SUM(G65:G74)-SUM(G57:G64)</f>
        <v>0</v>
      </c>
    </row>
    <row r="77" spans="1:7" ht="12.75">
      <c r="A77" s="358"/>
      <c r="B77" s="358"/>
      <c r="C77" s="310" t="s">
        <v>305</v>
      </c>
      <c r="D77" s="311">
        <f>D56+D76</f>
        <v>-18917.216999999815</v>
      </c>
      <c r="E77" s="311">
        <f>E56+E76</f>
        <v>-28720.20000000036</v>
      </c>
      <c r="F77" s="311">
        <f>F56+F76</f>
        <v>-32252.900000000358</v>
      </c>
      <c r="G77" s="311">
        <f>G56+G76</f>
        <v>-24757.050000000236</v>
      </c>
    </row>
    <row r="78" spans="1:7" ht="12.75">
      <c r="A78" s="359">
        <v>3</v>
      </c>
      <c r="B78" s="359"/>
      <c r="C78" s="360" t="s">
        <v>306</v>
      </c>
      <c r="D78" s="361">
        <f>D20+D21+SUM(D38:D43)+SUM(D57:D64)</f>
        <v>2871555.917</v>
      </c>
      <c r="E78" s="361">
        <f>E20+E21+SUM(E38:E43)+SUM(E57:E64)</f>
        <v>2518376.1999999997</v>
      </c>
      <c r="F78" s="361">
        <f>F20+F21+SUM(F38:F43)+SUM(F57:F64)</f>
        <v>2582323.8</v>
      </c>
      <c r="G78" s="361">
        <f>G20+G21+SUM(G38:G43)+SUM(G57:G64)</f>
        <v>2499570.9480000003</v>
      </c>
    </row>
    <row r="79" spans="1:7" ht="12.75">
      <c r="A79" s="359">
        <v>4</v>
      </c>
      <c r="B79" s="359"/>
      <c r="C79" s="360" t="s">
        <v>307</v>
      </c>
      <c r="D79" s="361">
        <f>D35+D36+SUM(D44:D53)+SUM(D65:D74)</f>
        <v>2852647.9999999995</v>
      </c>
      <c r="E79" s="361">
        <f>E35+E36+SUM(E44:E53)+SUM(E65:E74)</f>
        <v>2489655.9999999995</v>
      </c>
      <c r="F79" s="361">
        <f>F35+F36+SUM(F44:F53)+SUM(F65:F74)</f>
        <v>2550070.8</v>
      </c>
      <c r="G79" s="361">
        <f>G35+G36+SUM(G44:G53)+SUM(G65:G74)</f>
        <v>2474813.972</v>
      </c>
    </row>
    <row r="80" spans="1:7" ht="12.75">
      <c r="A80" s="362"/>
      <c r="B80" s="362"/>
      <c r="C80" s="363"/>
      <c r="D80" s="364"/>
      <c r="E80" s="364"/>
      <c r="F80" s="364"/>
      <c r="G80" s="364"/>
    </row>
    <row r="81" spans="1:7" ht="12.75">
      <c r="A81" s="611" t="s">
        <v>308</v>
      </c>
      <c r="B81" s="612"/>
      <c r="C81" s="612"/>
      <c r="D81" s="366"/>
      <c r="E81" s="365"/>
      <c r="F81" s="366"/>
      <c r="G81" s="365"/>
    </row>
    <row r="82" spans="1:7" s="260" customFormat="1" ht="12.75">
      <c r="A82" s="367">
        <v>50</v>
      </c>
      <c r="B82" s="368"/>
      <c r="C82" s="368" t="s">
        <v>309</v>
      </c>
      <c r="D82" s="316">
        <v>409680.2</v>
      </c>
      <c r="E82" s="275">
        <v>240850</v>
      </c>
      <c r="F82" s="275">
        <v>186363</v>
      </c>
      <c r="G82" s="276">
        <v>234630</v>
      </c>
    </row>
    <row r="83" spans="1:7" s="260" customFormat="1" ht="12.75">
      <c r="A83" s="367">
        <v>51</v>
      </c>
      <c r="B83" s="368"/>
      <c r="C83" s="368" t="s">
        <v>310</v>
      </c>
      <c r="D83" s="316">
        <v>0</v>
      </c>
      <c r="E83" s="275">
        <v>0</v>
      </c>
      <c r="F83" s="275">
        <v>0</v>
      </c>
      <c r="G83" s="276">
        <v>0</v>
      </c>
    </row>
    <row r="84" spans="1:7" s="260" customFormat="1" ht="12.75">
      <c r="A84" s="367">
        <v>52</v>
      </c>
      <c r="B84" s="368"/>
      <c r="C84" s="368" t="s">
        <v>311</v>
      </c>
      <c r="D84" s="316">
        <v>0</v>
      </c>
      <c r="E84" s="275">
        <v>0</v>
      </c>
      <c r="F84" s="275">
        <v>0</v>
      </c>
      <c r="G84" s="276">
        <v>0</v>
      </c>
    </row>
    <row r="85" spans="1:8" s="260" customFormat="1" ht="12.75">
      <c r="A85" s="369">
        <v>54</v>
      </c>
      <c r="B85" s="370"/>
      <c r="C85" s="370" t="s">
        <v>312</v>
      </c>
      <c r="D85" s="316">
        <v>6140</v>
      </c>
      <c r="E85" s="275">
        <v>5300</v>
      </c>
      <c r="F85" s="271">
        <v>3690</v>
      </c>
      <c r="G85" s="276">
        <v>38000</v>
      </c>
      <c r="H85" s="569"/>
    </row>
    <row r="86" spans="1:8" s="260" customFormat="1" ht="12.75">
      <c r="A86" s="369">
        <v>55</v>
      </c>
      <c r="B86" s="370"/>
      <c r="C86" s="370" t="s">
        <v>313</v>
      </c>
      <c r="D86" s="316">
        <v>3638.5</v>
      </c>
      <c r="E86" s="275">
        <v>0</v>
      </c>
      <c r="F86" s="271">
        <v>0</v>
      </c>
      <c r="G86" s="276">
        <v>11000</v>
      </c>
      <c r="H86" s="569"/>
    </row>
    <row r="87" spans="1:8" s="260" customFormat="1" ht="12.75">
      <c r="A87" s="369">
        <v>56</v>
      </c>
      <c r="B87" s="370"/>
      <c r="C87" s="370" t="s">
        <v>314</v>
      </c>
      <c r="D87" s="316">
        <v>0</v>
      </c>
      <c r="E87" s="275">
        <v>0</v>
      </c>
      <c r="F87" s="271">
        <v>0</v>
      </c>
      <c r="G87" s="276">
        <v>77750.4</v>
      </c>
      <c r="H87" s="569"/>
    </row>
    <row r="88" spans="1:7" s="260" customFormat="1" ht="12.75">
      <c r="A88" s="367">
        <v>57</v>
      </c>
      <c r="B88" s="368"/>
      <c r="C88" s="368" t="s">
        <v>315</v>
      </c>
      <c r="D88" s="316">
        <v>0</v>
      </c>
      <c r="E88" s="275">
        <v>0</v>
      </c>
      <c r="F88" s="275">
        <v>0</v>
      </c>
      <c r="G88" s="276"/>
    </row>
    <row r="89" spans="1:7" s="260" customFormat="1" ht="12.75">
      <c r="A89" s="367">
        <v>580</v>
      </c>
      <c r="B89" s="368"/>
      <c r="C89" s="368" t="s">
        <v>316</v>
      </c>
      <c r="D89" s="275">
        <v>0</v>
      </c>
      <c r="E89" s="275">
        <v>0</v>
      </c>
      <c r="F89" s="275">
        <v>0</v>
      </c>
      <c r="G89" s="276">
        <v>0</v>
      </c>
    </row>
    <row r="90" spans="1:7" s="260" customFormat="1" ht="12.75">
      <c r="A90" s="367">
        <v>582</v>
      </c>
      <c r="B90" s="368"/>
      <c r="C90" s="368" t="s">
        <v>317</v>
      </c>
      <c r="D90" s="275">
        <v>0</v>
      </c>
      <c r="E90" s="275">
        <v>0</v>
      </c>
      <c r="F90" s="275">
        <v>0</v>
      </c>
      <c r="G90" s="276">
        <v>0</v>
      </c>
    </row>
    <row r="91" spans="1:7" s="260" customFormat="1" ht="12.75">
      <c r="A91" s="367">
        <v>584</v>
      </c>
      <c r="B91" s="368"/>
      <c r="C91" s="368" t="s">
        <v>318</v>
      </c>
      <c r="D91" s="275">
        <v>0</v>
      </c>
      <c r="E91" s="275">
        <v>0</v>
      </c>
      <c r="F91" s="275">
        <v>0</v>
      </c>
      <c r="G91" s="276">
        <v>0</v>
      </c>
    </row>
    <row r="92" spans="1:7" s="260" customFormat="1" ht="12.75">
      <c r="A92" s="367">
        <v>585</v>
      </c>
      <c r="B92" s="368"/>
      <c r="C92" s="368" t="s">
        <v>319</v>
      </c>
      <c r="D92" s="275">
        <v>0</v>
      </c>
      <c r="E92" s="275">
        <v>0</v>
      </c>
      <c r="F92" s="275">
        <v>0</v>
      </c>
      <c r="G92" s="276">
        <v>0</v>
      </c>
    </row>
    <row r="93" spans="1:7" s="260" customFormat="1" ht="12.75">
      <c r="A93" s="367">
        <v>586</v>
      </c>
      <c r="B93" s="368"/>
      <c r="C93" s="368" t="s">
        <v>320</v>
      </c>
      <c r="D93" s="275">
        <v>0</v>
      </c>
      <c r="E93" s="275">
        <v>0</v>
      </c>
      <c r="F93" s="275">
        <v>0</v>
      </c>
      <c r="G93" s="276">
        <v>0</v>
      </c>
    </row>
    <row r="94" spans="1:7" s="260" customFormat="1" ht="12.75">
      <c r="A94" s="371">
        <v>589</v>
      </c>
      <c r="B94" s="372"/>
      <c r="C94" s="372" t="s">
        <v>321</v>
      </c>
      <c r="D94" s="306">
        <v>0</v>
      </c>
      <c r="E94" s="306">
        <v>0</v>
      </c>
      <c r="F94" s="306">
        <v>0</v>
      </c>
      <c r="G94" s="308">
        <v>0</v>
      </c>
    </row>
    <row r="95" spans="1:7" ht="12.75">
      <c r="A95" s="374">
        <v>5</v>
      </c>
      <c r="B95" s="375"/>
      <c r="C95" s="375" t="s">
        <v>322</v>
      </c>
      <c r="D95" s="376">
        <f>SUM(D82:D94)</f>
        <v>419458.7</v>
      </c>
      <c r="E95" s="376">
        <f>SUM(E82:E94)</f>
        <v>246150</v>
      </c>
      <c r="F95" s="376">
        <f>SUM(F82:F94)</f>
        <v>190053</v>
      </c>
      <c r="G95" s="376">
        <f>SUM(G82:G94)</f>
        <v>361380.4</v>
      </c>
    </row>
    <row r="96" spans="1:7" s="260" customFormat="1" ht="12.75">
      <c r="A96" s="367">
        <v>60</v>
      </c>
      <c r="B96" s="368"/>
      <c r="C96" s="368" t="s">
        <v>323</v>
      </c>
      <c r="D96" s="316">
        <v>0</v>
      </c>
      <c r="E96" s="275">
        <v>0</v>
      </c>
      <c r="F96" s="275">
        <v>0</v>
      </c>
      <c r="G96" s="276">
        <v>0</v>
      </c>
    </row>
    <row r="97" spans="1:7" s="260" customFormat="1" ht="12.75">
      <c r="A97" s="367">
        <v>61</v>
      </c>
      <c r="B97" s="368"/>
      <c r="C97" s="368" t="s">
        <v>324</v>
      </c>
      <c r="D97" s="316">
        <v>0</v>
      </c>
      <c r="E97" s="275">
        <v>0</v>
      </c>
      <c r="F97" s="275">
        <v>0</v>
      </c>
      <c r="G97" s="276">
        <v>0</v>
      </c>
    </row>
    <row r="98" spans="1:7" s="260" customFormat="1" ht="12.75">
      <c r="A98" s="367">
        <v>62</v>
      </c>
      <c r="B98" s="368"/>
      <c r="C98" s="368" t="s">
        <v>325</v>
      </c>
      <c r="D98" s="316">
        <v>0</v>
      </c>
      <c r="E98" s="275">
        <v>0</v>
      </c>
      <c r="F98" s="275">
        <v>0</v>
      </c>
      <c r="G98" s="276">
        <v>0</v>
      </c>
    </row>
    <row r="99" spans="1:7" s="260" customFormat="1" ht="12.75">
      <c r="A99" s="367">
        <v>63</v>
      </c>
      <c r="B99" s="368"/>
      <c r="C99" s="368" t="s">
        <v>326</v>
      </c>
      <c r="D99" s="316">
        <v>70386.3</v>
      </c>
      <c r="E99" s="275">
        <v>42240</v>
      </c>
      <c r="F99" s="275">
        <v>75106.7</v>
      </c>
      <c r="G99" s="276">
        <v>60900</v>
      </c>
    </row>
    <row r="100" spans="1:8" s="260" customFormat="1" ht="12.75">
      <c r="A100" s="369">
        <v>64</v>
      </c>
      <c r="B100" s="370"/>
      <c r="C100" s="370" t="s">
        <v>327</v>
      </c>
      <c r="D100" s="485">
        <v>0</v>
      </c>
      <c r="E100" s="271">
        <v>0</v>
      </c>
      <c r="F100" s="271">
        <v>0</v>
      </c>
      <c r="G100" s="276">
        <v>0</v>
      </c>
      <c r="H100" s="569"/>
    </row>
    <row r="101" spans="1:8" s="260" customFormat="1" ht="12.75">
      <c r="A101" s="369">
        <v>65</v>
      </c>
      <c r="B101" s="370"/>
      <c r="C101" s="370" t="s">
        <v>328</v>
      </c>
      <c r="D101" s="485">
        <v>1500</v>
      </c>
      <c r="E101" s="271">
        <v>0</v>
      </c>
      <c r="F101" s="271">
        <v>0</v>
      </c>
      <c r="G101" s="276">
        <v>0</v>
      </c>
      <c r="H101" s="569"/>
    </row>
    <row r="102" spans="1:8" s="260" customFormat="1" ht="12.75">
      <c r="A102" s="369">
        <v>66</v>
      </c>
      <c r="B102" s="370"/>
      <c r="C102" s="370" t="s">
        <v>329</v>
      </c>
      <c r="D102" s="485">
        <v>0</v>
      </c>
      <c r="E102" s="271"/>
      <c r="F102" s="271">
        <v>0</v>
      </c>
      <c r="G102" s="276">
        <v>0</v>
      </c>
      <c r="H102" s="569"/>
    </row>
    <row r="103" spans="1:7" s="260" customFormat="1" ht="12.75">
      <c r="A103" s="367">
        <v>67</v>
      </c>
      <c r="B103" s="368"/>
      <c r="C103" s="368" t="s">
        <v>315</v>
      </c>
      <c r="D103" s="316">
        <v>0</v>
      </c>
      <c r="E103" s="264">
        <v>0</v>
      </c>
      <c r="F103" s="275">
        <v>0</v>
      </c>
      <c r="G103" s="267">
        <v>0</v>
      </c>
    </row>
    <row r="104" spans="1:7" s="355" customFormat="1" ht="25.5">
      <c r="A104" s="377" t="s">
        <v>330</v>
      </c>
      <c r="B104" s="549"/>
      <c r="C104" s="378" t="s">
        <v>331</v>
      </c>
      <c r="D104" s="343">
        <v>0</v>
      </c>
      <c r="E104" s="343">
        <v>0</v>
      </c>
      <c r="F104" s="343">
        <v>0</v>
      </c>
      <c r="G104" s="380">
        <v>0</v>
      </c>
    </row>
    <row r="105" spans="1:7" s="355" customFormat="1" ht="38.25">
      <c r="A105" s="381" t="s">
        <v>332</v>
      </c>
      <c r="B105" s="543"/>
      <c r="C105" s="382" t="s">
        <v>333</v>
      </c>
      <c r="D105" s="383">
        <v>0</v>
      </c>
      <c r="E105" s="383">
        <v>0</v>
      </c>
      <c r="F105" s="383">
        <v>0</v>
      </c>
      <c r="G105" s="385">
        <v>0</v>
      </c>
    </row>
    <row r="106" spans="1:7" ht="12.75">
      <c r="A106" s="374">
        <v>6</v>
      </c>
      <c r="B106" s="375"/>
      <c r="C106" s="375" t="s">
        <v>334</v>
      </c>
      <c r="D106" s="376">
        <f>SUM(D96:D105)</f>
        <v>71886.3</v>
      </c>
      <c r="E106" s="376">
        <f>SUM(E96:E105)</f>
        <v>42240</v>
      </c>
      <c r="F106" s="376">
        <f>SUM(F96:F105)</f>
        <v>75106.7</v>
      </c>
      <c r="G106" s="376">
        <f>SUM(G96:G105)</f>
        <v>60900</v>
      </c>
    </row>
    <row r="107" spans="1:7" ht="12.75">
      <c r="A107" s="386" t="s">
        <v>335</v>
      </c>
      <c r="B107" s="386"/>
      <c r="C107" s="375" t="s">
        <v>3</v>
      </c>
      <c r="D107" s="376">
        <f>(D95-D88)-(D106-D103)</f>
        <v>347572.4</v>
      </c>
      <c r="E107" s="376">
        <f>(E95-E88)-(E106-E103)</f>
        <v>203910</v>
      </c>
      <c r="F107" s="376">
        <f>(F95-F88)-(F106-F103)</f>
        <v>114946.3</v>
      </c>
      <c r="G107" s="376">
        <f>(G95-G88)-(G106-G103)</f>
        <v>300480.4</v>
      </c>
    </row>
    <row r="108" spans="1:7" ht="12.75">
      <c r="A108" s="387" t="s">
        <v>336</v>
      </c>
      <c r="B108" s="387"/>
      <c r="C108" s="388" t="s">
        <v>337</v>
      </c>
      <c r="D108" s="389">
        <f>D107-D85-D86+D100+D101</f>
        <v>339293.9</v>
      </c>
      <c r="E108" s="389">
        <f>E107-E85-E86+E100+E101</f>
        <v>198610</v>
      </c>
      <c r="F108" s="389">
        <f>F107-F85-F86+F100+F101</f>
        <v>111256.3</v>
      </c>
      <c r="G108" s="389">
        <f>G107-G85-G86+G100+G101</f>
        <v>251480.40000000002</v>
      </c>
    </row>
    <row r="109" spans="1:7" ht="12.75">
      <c r="A109" s="362"/>
      <c r="B109" s="362"/>
      <c r="C109" s="363"/>
      <c r="D109" s="364"/>
      <c r="E109" s="364"/>
      <c r="F109" s="364"/>
      <c r="G109" s="364"/>
    </row>
    <row r="110" spans="1:7" s="250" customFormat="1" ht="12.75">
      <c r="A110" s="390" t="s">
        <v>338</v>
      </c>
      <c r="B110" s="391"/>
      <c r="C110" s="390"/>
      <c r="D110" s="364"/>
      <c r="E110" s="364"/>
      <c r="F110" s="364"/>
      <c r="G110" s="364"/>
    </row>
    <row r="111" spans="1:7" s="396" customFormat="1" ht="12.75">
      <c r="A111" s="392">
        <v>10</v>
      </c>
      <c r="B111" s="393"/>
      <c r="C111" s="393" t="s">
        <v>339</v>
      </c>
      <c r="D111" s="394">
        <f>D112+D117</f>
        <v>1505607</v>
      </c>
      <c r="E111" s="493">
        <f>E112+E117</f>
        <v>0</v>
      </c>
      <c r="F111" s="394">
        <f>F112+F117</f>
        <v>1340600</v>
      </c>
      <c r="G111" s="395">
        <f>G112+G117</f>
        <v>0</v>
      </c>
    </row>
    <row r="112" spans="1:7" s="396" customFormat="1" ht="12.75">
      <c r="A112" s="397" t="s">
        <v>340</v>
      </c>
      <c r="B112" s="398"/>
      <c r="C112" s="398" t="s">
        <v>341</v>
      </c>
      <c r="D112" s="394">
        <f>D113+D114+D115+D116</f>
        <v>1289819</v>
      </c>
      <c r="E112" s="493">
        <f>E113+E114+E115+E116</f>
        <v>0</v>
      </c>
      <c r="F112" s="394">
        <f>F113+F114+F115+F116</f>
        <v>1129600</v>
      </c>
      <c r="G112" s="395">
        <f>G113+G114+G115+G116</f>
        <v>0</v>
      </c>
    </row>
    <row r="113" spans="1:7" s="396" customFormat="1" ht="12.75">
      <c r="A113" s="410" t="s">
        <v>342</v>
      </c>
      <c r="B113" s="411"/>
      <c r="C113" s="411" t="s">
        <v>343</v>
      </c>
      <c r="D113" s="275">
        <v>867361</v>
      </c>
      <c r="E113" s="316"/>
      <c r="F113" s="275">
        <v>664000</v>
      </c>
      <c r="G113" s="277"/>
    </row>
    <row r="114" spans="1:7" s="406" customFormat="1" ht="15" customHeight="1">
      <c r="A114" s="414">
        <v>102</v>
      </c>
      <c r="B114" s="494"/>
      <c r="C114" s="494" t="s">
        <v>344</v>
      </c>
      <c r="D114" s="344">
        <v>0</v>
      </c>
      <c r="E114" s="344"/>
      <c r="F114" s="344">
        <v>6000</v>
      </c>
      <c r="G114" s="495"/>
    </row>
    <row r="115" spans="1:7" s="396" customFormat="1" ht="12.75">
      <c r="A115" s="410">
        <v>104</v>
      </c>
      <c r="B115" s="411"/>
      <c r="C115" s="411" t="s">
        <v>345</v>
      </c>
      <c r="D115" s="275">
        <v>409521</v>
      </c>
      <c r="E115" s="316"/>
      <c r="F115" s="275">
        <v>454000</v>
      </c>
      <c r="G115" s="277"/>
    </row>
    <row r="116" spans="1:7" s="396" customFormat="1" ht="12.75">
      <c r="A116" s="410">
        <v>106</v>
      </c>
      <c r="B116" s="411"/>
      <c r="C116" s="411" t="s">
        <v>346</v>
      </c>
      <c r="D116" s="275">
        <v>12937</v>
      </c>
      <c r="E116" s="316"/>
      <c r="F116" s="275">
        <v>5600</v>
      </c>
      <c r="G116" s="277"/>
    </row>
    <row r="117" spans="1:7" s="396" customFormat="1" ht="12.75">
      <c r="A117" s="397" t="s">
        <v>347</v>
      </c>
      <c r="B117" s="398"/>
      <c r="C117" s="398" t="s">
        <v>348</v>
      </c>
      <c r="D117" s="394">
        <f>D118+D119+D120</f>
        <v>215788</v>
      </c>
      <c r="E117" s="493">
        <f>E118+E119+E120</f>
        <v>0</v>
      </c>
      <c r="F117" s="394">
        <f>F118+F119+F120</f>
        <v>211000</v>
      </c>
      <c r="G117" s="395">
        <f>G118+G119+G120</f>
        <v>0</v>
      </c>
    </row>
    <row r="118" spans="1:7" s="396" customFormat="1" ht="12.75">
      <c r="A118" s="410">
        <v>107</v>
      </c>
      <c r="B118" s="411"/>
      <c r="C118" s="411" t="s">
        <v>349</v>
      </c>
      <c r="D118" s="275">
        <v>116379</v>
      </c>
      <c r="E118" s="316"/>
      <c r="F118" s="275">
        <v>105400</v>
      </c>
      <c r="G118" s="277"/>
    </row>
    <row r="119" spans="1:7" s="396" customFormat="1" ht="12.75">
      <c r="A119" s="410">
        <v>108</v>
      </c>
      <c r="B119" s="411"/>
      <c r="C119" s="411" t="s">
        <v>350</v>
      </c>
      <c r="D119" s="275">
        <v>99409</v>
      </c>
      <c r="E119" s="316"/>
      <c r="F119" s="275">
        <v>105600</v>
      </c>
      <c r="G119" s="277"/>
    </row>
    <row r="120" spans="1:7" s="409" customFormat="1" ht="25.5">
      <c r="A120" s="414">
        <v>109</v>
      </c>
      <c r="B120" s="415"/>
      <c r="C120" s="415" t="s">
        <v>351</v>
      </c>
      <c r="D120" s="281">
        <v>0</v>
      </c>
      <c r="E120" s="281"/>
      <c r="F120" s="281">
        <v>0</v>
      </c>
      <c r="G120" s="496"/>
    </row>
    <row r="121" spans="1:7" s="396" customFormat="1" ht="12.75">
      <c r="A121" s="397">
        <v>14</v>
      </c>
      <c r="B121" s="398"/>
      <c r="C121" s="398" t="s">
        <v>352</v>
      </c>
      <c r="D121" s="394">
        <f>SUM(D122:D130)</f>
        <v>1698412.7</v>
      </c>
      <c r="E121" s="394">
        <f>SUM(E122:E130)</f>
        <v>0</v>
      </c>
      <c r="F121" s="394">
        <f>SUM(F122:F130)</f>
        <v>1846000</v>
      </c>
      <c r="G121" s="394">
        <f>SUM(G122:G130)</f>
        <v>0</v>
      </c>
    </row>
    <row r="122" spans="1:7" s="396" customFormat="1" ht="12.75">
      <c r="A122" s="410" t="s">
        <v>353</v>
      </c>
      <c r="B122" s="411"/>
      <c r="C122" s="411" t="s">
        <v>354</v>
      </c>
      <c r="D122" s="275">
        <v>1493362</v>
      </c>
      <c r="E122" s="316"/>
      <c r="F122" s="275">
        <v>1334090</v>
      </c>
      <c r="G122" s="277"/>
    </row>
    <row r="123" spans="1:7" s="396" customFormat="1" ht="12.75">
      <c r="A123" s="410">
        <v>144</v>
      </c>
      <c r="B123" s="411"/>
      <c r="C123" s="411" t="s">
        <v>312</v>
      </c>
      <c r="D123" s="275">
        <v>6143.5</v>
      </c>
      <c r="E123" s="316"/>
      <c r="F123" s="275">
        <v>199400</v>
      </c>
      <c r="G123" s="277"/>
    </row>
    <row r="124" spans="1:7" s="396" customFormat="1" ht="12.75">
      <c r="A124" s="410">
        <v>145</v>
      </c>
      <c r="B124" s="411"/>
      <c r="C124" s="411" t="s">
        <v>355</v>
      </c>
      <c r="D124" s="275">
        <v>198907.2</v>
      </c>
      <c r="E124" s="316"/>
      <c r="F124" s="275">
        <v>312510</v>
      </c>
      <c r="G124" s="413"/>
    </row>
    <row r="125" spans="1:7" s="396" customFormat="1" ht="12.75">
      <c r="A125" s="410">
        <v>146</v>
      </c>
      <c r="B125" s="411"/>
      <c r="C125" s="411" t="s">
        <v>356</v>
      </c>
      <c r="D125" s="275">
        <v>0</v>
      </c>
      <c r="E125" s="316"/>
      <c r="F125" s="275">
        <v>0</v>
      </c>
      <c r="G125" s="413"/>
    </row>
    <row r="126" spans="1:7" s="409" customFormat="1" ht="29.25" customHeight="1">
      <c r="A126" s="414" t="s">
        <v>357</v>
      </c>
      <c r="B126" s="415"/>
      <c r="C126" s="415" t="s">
        <v>358</v>
      </c>
      <c r="D126" s="281">
        <v>0</v>
      </c>
      <c r="E126" s="281"/>
      <c r="F126" s="281">
        <v>0</v>
      </c>
      <c r="G126" s="417"/>
    </row>
    <row r="127" spans="1:7" s="396" customFormat="1" ht="12.75">
      <c r="A127" s="410">
        <v>1484</v>
      </c>
      <c r="B127" s="411"/>
      <c r="C127" s="411" t="s">
        <v>359</v>
      </c>
      <c r="D127" s="275">
        <v>0</v>
      </c>
      <c r="E127" s="316"/>
      <c r="F127" s="275">
        <v>0</v>
      </c>
      <c r="G127" s="413"/>
    </row>
    <row r="128" spans="1:7" s="396" customFormat="1" ht="12.75">
      <c r="A128" s="410">
        <v>1485</v>
      </c>
      <c r="B128" s="411"/>
      <c r="C128" s="411" t="s">
        <v>360</v>
      </c>
      <c r="D128" s="275">
        <v>0</v>
      </c>
      <c r="E128" s="316"/>
      <c r="F128" s="275">
        <v>0</v>
      </c>
      <c r="G128" s="413"/>
    </row>
    <row r="129" spans="1:7" s="396" customFormat="1" ht="12.75">
      <c r="A129" s="410">
        <v>1486</v>
      </c>
      <c r="B129" s="411"/>
      <c r="C129" s="411" t="s">
        <v>361</v>
      </c>
      <c r="D129" s="275">
        <v>0</v>
      </c>
      <c r="E129" s="316"/>
      <c r="F129" s="275">
        <v>0</v>
      </c>
      <c r="G129" s="413"/>
    </row>
    <row r="130" spans="1:7" s="396" customFormat="1" ht="12.75">
      <c r="A130" s="418">
        <v>1489</v>
      </c>
      <c r="B130" s="419"/>
      <c r="C130" s="419" t="s">
        <v>362</v>
      </c>
      <c r="D130" s="306">
        <v>0</v>
      </c>
      <c r="E130" s="497"/>
      <c r="F130" s="306">
        <v>0</v>
      </c>
      <c r="G130" s="421"/>
    </row>
    <row r="131" spans="1:7" s="250" customFormat="1" ht="12.75">
      <c r="A131" s="422">
        <v>1</v>
      </c>
      <c r="B131" s="423"/>
      <c r="C131" s="422" t="s">
        <v>363</v>
      </c>
      <c r="D131" s="424">
        <f>D111+D121</f>
        <v>3204019.7</v>
      </c>
      <c r="E131" s="424">
        <f>E111+E121</f>
        <v>0</v>
      </c>
      <c r="F131" s="424">
        <f>F111+F121</f>
        <v>3186600</v>
      </c>
      <c r="G131" s="424">
        <f>G111+G121</f>
        <v>0</v>
      </c>
    </row>
    <row r="132" spans="1:7" s="250" customFormat="1" ht="12.75">
      <c r="A132" s="362"/>
      <c r="B132" s="362"/>
      <c r="C132" s="363"/>
      <c r="D132" s="364"/>
      <c r="E132" s="364"/>
      <c r="F132" s="364"/>
      <c r="G132" s="364"/>
    </row>
    <row r="133" spans="1:7" s="396" customFormat="1" ht="12.75">
      <c r="A133" s="392">
        <v>20</v>
      </c>
      <c r="B133" s="393"/>
      <c r="C133" s="393" t="s">
        <v>364</v>
      </c>
      <c r="D133" s="425">
        <f>D134+D140</f>
        <v>2835228.961</v>
      </c>
      <c r="E133" s="425">
        <f>E134+E140</f>
        <v>0</v>
      </c>
      <c r="F133" s="425">
        <f>F134+F140</f>
        <v>2867100</v>
      </c>
      <c r="G133" s="426">
        <f>G134+G140</f>
        <v>0</v>
      </c>
    </row>
    <row r="134" spans="1:7" s="396" customFormat="1" ht="12.75">
      <c r="A134" s="427" t="s">
        <v>365</v>
      </c>
      <c r="B134" s="398"/>
      <c r="C134" s="398" t="s">
        <v>366</v>
      </c>
      <c r="D134" s="394">
        <f>D135+D136+D138+D139</f>
        <v>1273457.4610000001</v>
      </c>
      <c r="E134" s="394">
        <f>E135+E136+E138+E139</f>
        <v>0</v>
      </c>
      <c r="F134" s="394">
        <f>F135+F136+F138+F139</f>
        <v>1194000</v>
      </c>
      <c r="G134" s="395">
        <f>G135+G136+G138+G139</f>
        <v>0</v>
      </c>
    </row>
    <row r="135" spans="1:7" s="429" customFormat="1" ht="12.75">
      <c r="A135" s="428">
        <v>200</v>
      </c>
      <c r="B135" s="411"/>
      <c r="C135" s="411" t="s">
        <v>367</v>
      </c>
      <c r="D135" s="275">
        <v>1039140.461</v>
      </c>
      <c r="E135" s="275"/>
      <c r="F135" s="275">
        <v>983000</v>
      </c>
      <c r="G135" s="277"/>
    </row>
    <row r="136" spans="1:7" s="429" customFormat="1" ht="12.75">
      <c r="A136" s="428">
        <v>201</v>
      </c>
      <c r="B136" s="411"/>
      <c r="C136" s="411" t="s">
        <v>368</v>
      </c>
      <c r="D136" s="275">
        <v>20243</v>
      </c>
      <c r="E136" s="275"/>
      <c r="F136" s="275">
        <v>33300</v>
      </c>
      <c r="G136" s="277"/>
    </row>
    <row r="137" spans="1:7" s="429" customFormat="1" ht="12.75">
      <c r="A137" s="430" t="s">
        <v>369</v>
      </c>
      <c r="B137" s="400"/>
      <c r="C137" s="400" t="s">
        <v>370</v>
      </c>
      <c r="D137" s="271">
        <v>19929</v>
      </c>
      <c r="E137" s="271"/>
      <c r="F137" s="271">
        <v>2457</v>
      </c>
      <c r="G137" s="432"/>
    </row>
    <row r="138" spans="1:7" s="429" customFormat="1" ht="12.75">
      <c r="A138" s="428">
        <v>204</v>
      </c>
      <c r="B138" s="411"/>
      <c r="C138" s="411" t="s">
        <v>371</v>
      </c>
      <c r="D138" s="275">
        <v>213129</v>
      </c>
      <c r="E138" s="275"/>
      <c r="F138" s="275">
        <v>176300</v>
      </c>
      <c r="G138" s="413"/>
    </row>
    <row r="139" spans="1:7" s="429" customFormat="1" ht="12.75">
      <c r="A139" s="428">
        <v>205</v>
      </c>
      <c r="B139" s="411"/>
      <c r="C139" s="411" t="s">
        <v>372</v>
      </c>
      <c r="D139" s="275">
        <v>945</v>
      </c>
      <c r="E139" s="275"/>
      <c r="F139" s="275">
        <v>1400</v>
      </c>
      <c r="G139" s="413"/>
    </row>
    <row r="140" spans="1:7" s="429" customFormat="1" ht="12.75">
      <c r="A140" s="427" t="s">
        <v>373</v>
      </c>
      <c r="B140" s="398"/>
      <c r="C140" s="398" t="s">
        <v>374</v>
      </c>
      <c r="D140" s="394">
        <f>D141+D143+D144</f>
        <v>1561771.5</v>
      </c>
      <c r="E140" s="394">
        <f>E141+E143+E144</f>
        <v>0</v>
      </c>
      <c r="F140" s="394">
        <f>F141+F143+F144</f>
        <v>1673100</v>
      </c>
      <c r="G140" s="395">
        <f>G141+G143+G144</f>
        <v>0</v>
      </c>
    </row>
    <row r="141" spans="1:7" s="429" customFormat="1" ht="12.75">
      <c r="A141" s="428">
        <v>206</v>
      </c>
      <c r="B141" s="411"/>
      <c r="C141" s="411" t="s">
        <v>375</v>
      </c>
      <c r="D141" s="275">
        <v>1092433.5</v>
      </c>
      <c r="E141" s="275"/>
      <c r="F141" s="275">
        <v>1132400</v>
      </c>
      <c r="G141" s="413"/>
    </row>
    <row r="142" spans="1:7" s="429" customFormat="1" ht="12.75">
      <c r="A142" s="430" t="s">
        <v>376</v>
      </c>
      <c r="B142" s="400"/>
      <c r="C142" s="400" t="s">
        <v>377</v>
      </c>
      <c r="D142" s="271">
        <v>0</v>
      </c>
      <c r="E142" s="271"/>
      <c r="F142" s="271">
        <v>0</v>
      </c>
      <c r="G142" s="432"/>
    </row>
    <row r="143" spans="1:7" s="429" customFormat="1" ht="12.75">
      <c r="A143" s="428">
        <v>208</v>
      </c>
      <c r="B143" s="411"/>
      <c r="C143" s="411" t="s">
        <v>378</v>
      </c>
      <c r="D143" s="275">
        <v>458110</v>
      </c>
      <c r="E143" s="275"/>
      <c r="F143" s="275">
        <v>540700</v>
      </c>
      <c r="G143" s="413"/>
    </row>
    <row r="144" spans="1:7" s="433" customFormat="1" ht="28.5" customHeight="1">
      <c r="A144" s="414">
        <v>209</v>
      </c>
      <c r="B144" s="415"/>
      <c r="C144" s="415" t="s">
        <v>379</v>
      </c>
      <c r="D144" s="281">
        <v>11228</v>
      </c>
      <c r="E144" s="281"/>
      <c r="F144" s="281">
        <v>0</v>
      </c>
      <c r="G144" s="417"/>
    </row>
    <row r="145" spans="1:7" s="396" customFormat="1" ht="12.75">
      <c r="A145" s="427">
        <v>29</v>
      </c>
      <c r="B145" s="398"/>
      <c r="C145" s="398" t="s">
        <v>380</v>
      </c>
      <c r="D145" s="412">
        <v>368790.8</v>
      </c>
      <c r="E145" s="412"/>
      <c r="F145" s="412">
        <v>319500</v>
      </c>
      <c r="G145" s="413"/>
    </row>
    <row r="146" spans="1:7" s="396" customFormat="1" ht="12.75">
      <c r="A146" s="434" t="s">
        <v>381</v>
      </c>
      <c r="B146" s="435"/>
      <c r="C146" s="435" t="s">
        <v>382</v>
      </c>
      <c r="D146" s="332">
        <v>367141.4</v>
      </c>
      <c r="E146" s="332"/>
      <c r="F146" s="332">
        <v>334900</v>
      </c>
      <c r="G146" s="436"/>
    </row>
    <row r="147" spans="1:7" s="250" customFormat="1" ht="12.75">
      <c r="A147" s="422">
        <v>2</v>
      </c>
      <c r="B147" s="423"/>
      <c r="C147" s="422" t="s">
        <v>383</v>
      </c>
      <c r="D147" s="424">
        <f>D133+D145</f>
        <v>3204019.761</v>
      </c>
      <c r="E147" s="424">
        <f>E133+E145</f>
        <v>0</v>
      </c>
      <c r="F147" s="424">
        <f>F133+F145</f>
        <v>3186600</v>
      </c>
      <c r="G147" s="424">
        <f>G133+G145</f>
        <v>0</v>
      </c>
    </row>
    <row r="148" spans="4:6" ht="7.5" customHeight="1">
      <c r="D148" s="250"/>
      <c r="F148" s="250"/>
    </row>
    <row r="149" spans="1:7" ht="13.5" customHeight="1">
      <c r="A149" s="437" t="s">
        <v>384</v>
      </c>
      <c r="B149" s="438"/>
      <c r="C149" s="439" t="s">
        <v>385</v>
      </c>
      <c r="D149" s="438"/>
      <c r="E149" s="438"/>
      <c r="F149" s="438"/>
      <c r="G149" s="438"/>
    </row>
    <row r="150" spans="1:7" ht="12.75">
      <c r="A150" s="516" t="s">
        <v>386</v>
      </c>
      <c r="B150" s="441"/>
      <c r="C150" s="441" t="s">
        <v>97</v>
      </c>
      <c r="D150" s="442">
        <f>D77+SUM(D8:D12)-D30-D31+D16-D33+D59+D63-D73+D64-D74-D54+D20-D35</f>
        <v>59472.283000000185</v>
      </c>
      <c r="E150" s="442">
        <f>E77+SUM(E8:E12)-E30-E31+E16-E33+E59+E63-E73+E64-E74-E54+E20-E35</f>
        <v>-23828.500000000364</v>
      </c>
      <c r="F150" s="442">
        <f>F77+SUM(F8:F12)-F30-F31+F16-F33+F59+F63-F73+F64-F74-F54+F20-F35</f>
        <v>-49183.40000000035</v>
      </c>
      <c r="G150" s="442">
        <f>G77+SUM(G8:G12)-G30-G31+G16-G33+G59+G63-G73+G64-G74-G54+G20-G35</f>
        <v>-10301.304000000237</v>
      </c>
    </row>
    <row r="151" spans="1:7" ht="12.75">
      <c r="A151" s="517" t="s">
        <v>387</v>
      </c>
      <c r="B151" s="444"/>
      <c r="C151" s="444" t="s">
        <v>388</v>
      </c>
      <c r="D151" s="445">
        <f>IF(D177=0,0,D150/D177)</f>
        <v>0.02218341845851421</v>
      </c>
      <c r="E151" s="445">
        <f>IF(E177=0,0,E150/E177)</f>
        <v>-0.010475133707036057</v>
      </c>
      <c r="F151" s="445">
        <f>IF(F177=0,0,F150/F177)</f>
        <v>-0.021045480726980103</v>
      </c>
      <c r="G151" s="445">
        <f>IF(G177=0,0,G150/G177)</f>
        <v>-0.004321837365639175</v>
      </c>
    </row>
    <row r="152" spans="1:7" s="589" customFormat="1" ht="25.5">
      <c r="A152" s="511" t="s">
        <v>389</v>
      </c>
      <c r="B152" s="511"/>
      <c r="C152" s="511" t="s">
        <v>390</v>
      </c>
      <c r="D152" s="591">
        <f>IF(IF(D107=0,0,D$150/D107)&lt;0,"negativ",(IF(D107=0,0,D$150/D107)))</f>
        <v>0.17110761096105498</v>
      </c>
      <c r="E152" s="591" t="str">
        <f>IF(IF(E107=0,0,E$150/E107)&lt;0,"negativ",(IF(E107=0,0,E$150/E107)))</f>
        <v>negativ</v>
      </c>
      <c r="F152" s="591" t="str">
        <f>IF(IF(F107=0,0,F$150/F107)&lt;0,"negativ",(IF(F107=0,0,F$150/F107)))</f>
        <v>negativ</v>
      </c>
      <c r="G152" s="591" t="str">
        <f>IF(IF(G107=0,0,G$150/G107)&lt;0,"negativ",(IF(G107=0,0,G$150/G107)))</f>
        <v>negativ</v>
      </c>
    </row>
    <row r="153" spans="1:7" s="589" customFormat="1" ht="25.5">
      <c r="A153" s="512" t="s">
        <v>389</v>
      </c>
      <c r="B153" s="512"/>
      <c r="C153" s="512" t="s">
        <v>391</v>
      </c>
      <c r="D153" s="592">
        <f>IF(IF(D108=0,0,D$150/D108)&lt;0,"negativ",(IF(D108=0,0,D$150/D108)))</f>
        <v>0.17528249992116032</v>
      </c>
      <c r="E153" s="592" t="str">
        <f>IF(IF(E108=0,0,E$150/E108)&lt;0,"negativ",(IF(E108=0,0,E$150/E108)))</f>
        <v>negativ</v>
      </c>
      <c r="F153" s="592" t="str">
        <f>IF(IF(F108=0,0,F$150/F108)&lt;0,"negativ",(IF(F108=0,0,F$150/F108)))</f>
        <v>negativ</v>
      </c>
      <c r="G153" s="592" t="str">
        <f>IF(IF(G108=0,0,G$150/G108)&lt;0,"negativ",(IF(G108=0,0,G$150/G108)))</f>
        <v>negativ</v>
      </c>
    </row>
    <row r="154" spans="1:7" ht="25.5">
      <c r="A154" s="513" t="s">
        <v>392</v>
      </c>
      <c r="B154" s="454"/>
      <c r="C154" s="454" t="s">
        <v>393</v>
      </c>
      <c r="D154" s="455">
        <f>D150-D107</f>
        <v>-288100.11699999985</v>
      </c>
      <c r="E154" s="455">
        <f>E150-E107</f>
        <v>-227738.50000000035</v>
      </c>
      <c r="F154" s="455">
        <f>F150-F107</f>
        <v>-164129.70000000036</v>
      </c>
      <c r="G154" s="455">
        <f>G150-G107</f>
        <v>-310781.70400000026</v>
      </c>
    </row>
    <row r="155" spans="1:7" ht="25.5">
      <c r="A155" s="512" t="s">
        <v>394</v>
      </c>
      <c r="B155" s="451"/>
      <c r="C155" s="451" t="s">
        <v>395</v>
      </c>
      <c r="D155" s="456">
        <f>D150-D108</f>
        <v>-279821.61699999985</v>
      </c>
      <c r="E155" s="456">
        <f>E150-E108</f>
        <v>-222438.50000000035</v>
      </c>
      <c r="F155" s="456">
        <f>F150-F108</f>
        <v>-160439.70000000036</v>
      </c>
      <c r="G155" s="456">
        <f>G150-G108</f>
        <v>-261781.70400000026</v>
      </c>
    </row>
    <row r="156" spans="1:7" ht="12.75">
      <c r="A156" s="509" t="s">
        <v>396</v>
      </c>
      <c r="B156" s="441"/>
      <c r="C156" s="441" t="s">
        <v>397</v>
      </c>
      <c r="D156" s="457">
        <f>D135+D136-D137+D141-D142</f>
        <v>2131887.961</v>
      </c>
      <c r="E156" s="457">
        <f>E135+E136-E137+E141-E142</f>
        <v>0</v>
      </c>
      <c r="F156" s="457">
        <f>F135+F136-F137+F141-F142</f>
        <v>2146243</v>
      </c>
      <c r="G156" s="457">
        <f>G135+G136-G137+G141-G142</f>
        <v>0</v>
      </c>
    </row>
    <row r="157" spans="1:7" ht="12.75">
      <c r="A157" s="514" t="s">
        <v>398</v>
      </c>
      <c r="B157" s="459"/>
      <c r="C157" s="459" t="s">
        <v>399</v>
      </c>
      <c r="D157" s="460">
        <f>IF(D177=0,0,D156/D177)</f>
        <v>0.7952034184652282</v>
      </c>
      <c r="E157" s="460">
        <f>IF(E177=0,0,E156/E177)</f>
        <v>0</v>
      </c>
      <c r="F157" s="460">
        <f>IF(F177=0,0,F156/F177)</f>
        <v>0.918373184690681</v>
      </c>
      <c r="G157" s="460">
        <f>IF(G177=0,0,G156/G177)</f>
        <v>0</v>
      </c>
    </row>
    <row r="158" spans="1:7" ht="12.75">
      <c r="A158" s="509" t="s">
        <v>400</v>
      </c>
      <c r="B158" s="441"/>
      <c r="C158" s="441" t="s">
        <v>401</v>
      </c>
      <c r="D158" s="457">
        <f>D133-D142-D111</f>
        <v>1329621.9610000001</v>
      </c>
      <c r="E158" s="457">
        <f>E133-E142-E111</f>
        <v>0</v>
      </c>
      <c r="F158" s="457">
        <f>F133-F142-F111</f>
        <v>1526500</v>
      </c>
      <c r="G158" s="457">
        <f>G133-G142-G111</f>
        <v>0</v>
      </c>
    </row>
    <row r="159" spans="1:7" ht="12.75">
      <c r="A159" s="510" t="s">
        <v>402</v>
      </c>
      <c r="B159" s="444"/>
      <c r="C159" s="444" t="s">
        <v>403</v>
      </c>
      <c r="D159" s="461">
        <f>D121-D123-D124-D142-D145</f>
        <v>1124571.2</v>
      </c>
      <c r="E159" s="461">
        <f>E121-E123-E124-E142-E145</f>
        <v>0</v>
      </c>
      <c r="F159" s="461">
        <f>F121-F123-F124-F142-F145</f>
        <v>1014590</v>
      </c>
      <c r="G159" s="461">
        <f>G121-G123-G124-G142-G145</f>
        <v>0</v>
      </c>
    </row>
    <row r="160" spans="1:7" ht="12.75">
      <c r="A160" s="510" t="s">
        <v>404</v>
      </c>
      <c r="B160" s="444"/>
      <c r="C160" s="444" t="s">
        <v>405</v>
      </c>
      <c r="D160" s="462">
        <f>IF(D175=0,"-",1000*D158/D175)</f>
        <v>4805.526701748553</v>
      </c>
      <c r="E160" s="462">
        <f>IF(E175=0,"-",1000*E158/E175)</f>
        <v>0</v>
      </c>
      <c r="F160" s="462">
        <f>IF(F175=0,"-",1000*F158/F175)</f>
        <v>5491.54054530476</v>
      </c>
      <c r="G160" s="462">
        <f>IF(G175=0,"-",1000*G158/G175)</f>
        <v>0</v>
      </c>
    </row>
    <row r="161" spans="1:7" ht="12.75">
      <c r="A161" s="510" t="s">
        <v>404</v>
      </c>
      <c r="B161" s="444"/>
      <c r="C161" s="444" t="s">
        <v>406</v>
      </c>
      <c r="D161" s="461">
        <f>IF(D175=0,0,1000*(D159/D175))</f>
        <v>4064.431160232177</v>
      </c>
      <c r="E161" s="461">
        <f>IF(E175=0,0,1000*(E159/E175))</f>
        <v>0</v>
      </c>
      <c r="F161" s="461">
        <f>IF(F175=0,0,1000*(F159/F175))</f>
        <v>3649.9588089490708</v>
      </c>
      <c r="G161" s="461">
        <f>IF(G175=0,0,1000*(G159/G175))</f>
        <v>0</v>
      </c>
    </row>
    <row r="162" spans="1:7" ht="12.75">
      <c r="A162" s="514" t="s">
        <v>407</v>
      </c>
      <c r="B162" s="459"/>
      <c r="C162" s="459" t="s">
        <v>408</v>
      </c>
      <c r="D162" s="460">
        <f>IF((D22+D23+D65+D66)=0,0,D158/(D22+D23+D65+D66))</f>
        <v>0.8780297492380267</v>
      </c>
      <c r="E162" s="460">
        <f>IF((E22+E23+E65+E66)=0,0,E158/(E22+E23+E65+E66))</f>
        <v>0</v>
      </c>
      <c r="F162" s="460">
        <f>IF((F22+F23+F65+F66)=0,0,F158/(F22+F23+F65+F66))</f>
        <v>0.9789875851034582</v>
      </c>
      <c r="G162" s="460">
        <f>IF((G22+G23+G65+G66)=0,0,G158/(G22+G23+G65+G66))</f>
        <v>0</v>
      </c>
    </row>
    <row r="163" spans="1:7" ht="12.75">
      <c r="A163" s="510" t="s">
        <v>409</v>
      </c>
      <c r="B163" s="444"/>
      <c r="C163" s="444" t="s">
        <v>380</v>
      </c>
      <c r="D163" s="442">
        <f>D145</f>
        <v>368790.8</v>
      </c>
      <c r="E163" s="442">
        <f>E145</f>
        <v>0</v>
      </c>
      <c r="F163" s="442">
        <f>F145</f>
        <v>319500</v>
      </c>
      <c r="G163" s="442">
        <f>G145</f>
        <v>0</v>
      </c>
    </row>
    <row r="164" spans="1:7" ht="25.5">
      <c r="A164" s="512" t="s">
        <v>411</v>
      </c>
      <c r="B164" s="463"/>
      <c r="C164" s="463" t="s">
        <v>412</v>
      </c>
      <c r="D164" s="452">
        <f>IF(D178=0,0,D146/D178)</f>
        <v>0.13294213347231615</v>
      </c>
      <c r="E164" s="452">
        <f>IF(E178=0,0,E146/E178)</f>
        <v>0</v>
      </c>
      <c r="F164" s="452">
        <f>IF(F178=0,0,F146/F178)</f>
        <v>0.13451109734627156</v>
      </c>
      <c r="G164" s="452">
        <f>IF(G178=0,0,G146/G178)</f>
        <v>0</v>
      </c>
    </row>
    <row r="165" spans="1:7" ht="12.75">
      <c r="A165" s="515" t="s">
        <v>681</v>
      </c>
      <c r="B165" s="464"/>
      <c r="C165" s="464" t="s">
        <v>414</v>
      </c>
      <c r="D165" s="465">
        <f>IF(D177=0,0,D180/D177)</f>
        <v>0.05285810643387318</v>
      </c>
      <c r="E165" s="465">
        <f>IF(E177=0,0,E180/E177)</f>
        <v>0.05928714228056918</v>
      </c>
      <c r="F165" s="465">
        <f>IF(F177=0,0,F180/F177)</f>
        <v>0.0536460486418238</v>
      </c>
      <c r="G165" s="465">
        <f>IF(G177=0,0,G180/G177)</f>
        <v>0.029801845975495306</v>
      </c>
    </row>
    <row r="166" spans="1:7" ht="12.75">
      <c r="A166" s="510" t="s">
        <v>415</v>
      </c>
      <c r="B166" s="444"/>
      <c r="C166" s="444" t="s">
        <v>282</v>
      </c>
      <c r="D166" s="442">
        <f>D55</f>
        <v>69332.7</v>
      </c>
      <c r="E166" s="442">
        <f>E55</f>
        <v>76370.2</v>
      </c>
      <c r="F166" s="442">
        <f>F55</f>
        <v>118022.30000000002</v>
      </c>
      <c r="G166" s="442">
        <f>G55</f>
        <v>67811.88900000001</v>
      </c>
    </row>
    <row r="167" spans="1:7" ht="12.75">
      <c r="A167" s="514" t="s">
        <v>416</v>
      </c>
      <c r="B167" s="459"/>
      <c r="C167" s="459" t="s">
        <v>417</v>
      </c>
      <c r="D167" s="460">
        <f>IF(0=D111,0,(D44+D45+D46+D47+D48)/D111)</f>
        <v>0.028998868894738135</v>
      </c>
      <c r="E167" s="460">
        <f>IF(0=E111,0,(E44+E45+E46+E47+E48)/E111)</f>
        <v>0</v>
      </c>
      <c r="F167" s="460">
        <f>IF(0=F111,0,(F44+F45+F46+F47+F48)/F111)</f>
        <v>0.03317410114873937</v>
      </c>
      <c r="G167" s="460">
        <f>IF(0=G111,0,(G44+G45+G46+G47+G48)/G111)</f>
        <v>0</v>
      </c>
    </row>
    <row r="168" spans="1:7" ht="12.75">
      <c r="A168" s="510" t="s">
        <v>418</v>
      </c>
      <c r="B168" s="441"/>
      <c r="C168" s="441" t="s">
        <v>419</v>
      </c>
      <c r="D168" s="442">
        <f>D38-D44</f>
        <v>7412.799999999999</v>
      </c>
      <c r="E168" s="442">
        <f>E38-E44</f>
        <v>5174.4000000000015</v>
      </c>
      <c r="F168" s="442">
        <f>F38-F44</f>
        <v>10999.3</v>
      </c>
      <c r="G168" s="442">
        <f>G38-G44</f>
        <v>7645.310999999998</v>
      </c>
    </row>
    <row r="169" spans="1:7" ht="12.75">
      <c r="A169" s="514" t="s">
        <v>420</v>
      </c>
      <c r="B169" s="459"/>
      <c r="C169" s="459" t="s">
        <v>421</v>
      </c>
      <c r="D169" s="445">
        <f>IF(D177=0,0,D168/D177)</f>
        <v>0.002765006420709856</v>
      </c>
      <c r="E169" s="445">
        <f>IF(E177=0,0,E168/E177)</f>
        <v>0.0022746934072092897</v>
      </c>
      <c r="F169" s="445">
        <f>IF(F177=0,0,F168/F177)</f>
        <v>0.004706578970959116</v>
      </c>
      <c r="G169" s="445">
        <f>IF(G177=0,0,G168/G177)</f>
        <v>0.0032075347695526154</v>
      </c>
    </row>
    <row r="170" spans="1:7" ht="12.75">
      <c r="A170" s="510" t="s">
        <v>422</v>
      </c>
      <c r="B170" s="444"/>
      <c r="C170" s="444" t="s">
        <v>423</v>
      </c>
      <c r="D170" s="442">
        <f>SUM(D82:D87)+SUM(D89:D94)</f>
        <v>419458.7</v>
      </c>
      <c r="E170" s="442">
        <f>SUM(E82:E87)+SUM(E89:E94)</f>
        <v>246150</v>
      </c>
      <c r="F170" s="442">
        <f>SUM(F82:F87)+SUM(F89:F94)</f>
        <v>190053</v>
      </c>
      <c r="G170" s="442">
        <f>SUM(G82:G87)+SUM(G89:G94)</f>
        <v>361380.4</v>
      </c>
    </row>
    <row r="171" spans="1:7" ht="12.75">
      <c r="A171" s="510" t="s">
        <v>424</v>
      </c>
      <c r="B171" s="444"/>
      <c r="C171" s="444" t="s">
        <v>425</v>
      </c>
      <c r="D171" s="461">
        <f>SUM(D96:D102)+SUM(D104:D105)</f>
        <v>71886.3</v>
      </c>
      <c r="E171" s="461">
        <f>SUM(E96:E102)+SUM(E104:E105)</f>
        <v>42240</v>
      </c>
      <c r="F171" s="461">
        <f>SUM(F96:F102)+SUM(F104:F105)</f>
        <v>75106.7</v>
      </c>
      <c r="G171" s="461">
        <f>SUM(G96:G102)+SUM(G104:G105)</f>
        <v>60900</v>
      </c>
    </row>
    <row r="172" spans="1:7" ht="12.75">
      <c r="A172" s="515" t="s">
        <v>413</v>
      </c>
      <c r="B172" s="464"/>
      <c r="C172" s="464" t="s">
        <v>426</v>
      </c>
      <c r="D172" s="465">
        <f>IF(D184=0,0,D170/D184)</f>
        <v>0.1399045298948795</v>
      </c>
      <c r="E172" s="465">
        <f>IF(E184=0,0,E170/E184)</f>
        <v>0.09854371485664501</v>
      </c>
      <c r="F172" s="465">
        <f>IF(F184=0,0,F170/F184)</f>
        <v>0.07554839097187724</v>
      </c>
      <c r="G172" s="465">
        <f>IF(G184=0,0,G170/G184)</f>
        <v>0.13598641386673052</v>
      </c>
    </row>
    <row r="174" spans="1:7" ht="12.75">
      <c r="A174" s="467" t="s">
        <v>427</v>
      </c>
      <c r="B174" s="468"/>
      <c r="C174" s="467"/>
      <c r="D174" s="364"/>
      <c r="E174" s="364"/>
      <c r="F174" s="364"/>
      <c r="G174" s="364"/>
    </row>
    <row r="175" spans="1:7" s="260" customFormat="1" ht="12.75">
      <c r="A175" s="468" t="s">
        <v>428</v>
      </c>
      <c r="B175" s="468"/>
      <c r="C175" s="468" t="s">
        <v>429</v>
      </c>
      <c r="D175" s="470">
        <v>276686</v>
      </c>
      <c r="E175" s="470">
        <v>276686</v>
      </c>
      <c r="F175" s="590">
        <v>277973</v>
      </c>
      <c r="G175" s="590">
        <v>277973</v>
      </c>
    </row>
    <row r="176" spans="1:7" ht="12.75">
      <c r="A176" s="467" t="s">
        <v>430</v>
      </c>
      <c r="B176" s="468"/>
      <c r="C176" s="468"/>
      <c r="D176" s="468"/>
      <c r="E176" s="468"/>
      <c r="F176" s="468"/>
      <c r="G176" s="468"/>
    </row>
    <row r="177" spans="1:7" ht="12.75">
      <c r="A177" s="468" t="s">
        <v>431</v>
      </c>
      <c r="B177" s="468"/>
      <c r="C177" s="468" t="s">
        <v>432</v>
      </c>
      <c r="D177" s="472">
        <f>SUM(D22:D32)+SUM(D44:D53)+SUM(D65:D72)+D75</f>
        <v>2680934.1</v>
      </c>
      <c r="E177" s="472">
        <f>SUM(E22:E32)+SUM(E44:E53)+SUM(E65:E72)+E75</f>
        <v>2274768.0999999996</v>
      </c>
      <c r="F177" s="472">
        <f>SUM(F22:F32)+SUM(F44:F53)+SUM(F65:F72)+F75</f>
        <v>2337005.3</v>
      </c>
      <c r="G177" s="472">
        <f>SUM(G22:G32)+SUM(G44:G53)+SUM(G65:G72)+G75</f>
        <v>2383547.35</v>
      </c>
    </row>
    <row r="178" spans="1:7" ht="12.75">
      <c r="A178" s="468" t="s">
        <v>433</v>
      </c>
      <c r="B178" s="468"/>
      <c r="C178" s="468" t="s">
        <v>434</v>
      </c>
      <c r="D178" s="472">
        <f>D78-D17-D20-D59-D63-D64</f>
        <v>2761663.217</v>
      </c>
      <c r="E178" s="472">
        <f>E78-E17-E20-E59-E63-E64</f>
        <v>2430488.3</v>
      </c>
      <c r="F178" s="472">
        <f>F78-F17-F20-F59-F63-F64</f>
        <v>2489757.4</v>
      </c>
      <c r="G178" s="472">
        <f>G78-G17-G20-G59-G63-G64</f>
        <v>2408304.4000000004</v>
      </c>
    </row>
    <row r="179" spans="1:7" ht="12.75">
      <c r="A179" s="468"/>
      <c r="B179" s="468"/>
      <c r="C179" s="468" t="s">
        <v>435</v>
      </c>
      <c r="D179" s="472">
        <f>D178+D170</f>
        <v>3181121.9170000004</v>
      </c>
      <c r="E179" s="472">
        <f>E178+E170</f>
        <v>2676638.3</v>
      </c>
      <c r="F179" s="472">
        <f>F178+F170</f>
        <v>2679810.4</v>
      </c>
      <c r="G179" s="472">
        <f>G178+G170</f>
        <v>2769684.8000000003</v>
      </c>
    </row>
    <row r="180" spans="1:7" ht="12.75">
      <c r="A180" s="468" t="s">
        <v>436</v>
      </c>
      <c r="B180" s="468"/>
      <c r="C180" s="468" t="s">
        <v>437</v>
      </c>
      <c r="D180" s="472">
        <f>D38-D44+D8+D9+D10+D16-D33</f>
        <v>141709.1</v>
      </c>
      <c r="E180" s="472">
        <f>E38-E44+E8+E9+E10+E16-E33</f>
        <v>134864.5</v>
      </c>
      <c r="F180" s="472">
        <f>F38-F44+F8+F9+F10+F16-F33</f>
        <v>125371.1</v>
      </c>
      <c r="G180" s="472">
        <f>G38-G44+G8+G9+G10+G16-G33</f>
        <v>71034.111</v>
      </c>
    </row>
    <row r="181" spans="1:7" ht="27" customHeight="1">
      <c r="A181" s="473" t="s">
        <v>438</v>
      </c>
      <c r="B181" s="474"/>
      <c r="C181" s="474" t="s">
        <v>439</v>
      </c>
      <c r="D181" s="475">
        <f>D22+D23+D24+D25+D26+D29+SUM(D44:D47)+SUM(D49:D53)-D54+D32-D33+SUM(D65:D70)+D72</f>
        <v>2662476.1</v>
      </c>
      <c r="E181" s="475">
        <f>E22+E23+E24+E25+E26+E29+SUM(E44:E47)+SUM(E49:E53)-E54+E32-E33+SUM(E65:E70)+E72</f>
        <v>2254859.6999999997</v>
      </c>
      <c r="F181" s="475">
        <f>F22+F23+F24+F25+F26+F29+SUM(F44:F47)+SUM(F49:F53)-F54+F32-F33+SUM(F65:F70)+F72</f>
        <v>2302642.1999999997</v>
      </c>
      <c r="G181" s="475">
        <f>G22+G23+G24+G25+G26+G29+SUM(G44:G47)+SUM(G49:G53)-G54+G32-G33+SUM(G65:G70)+G72</f>
        <v>2311323.87</v>
      </c>
    </row>
    <row r="182" spans="1:7" ht="12.75">
      <c r="A182" s="474" t="s">
        <v>440</v>
      </c>
      <c r="B182" s="474"/>
      <c r="C182" s="474" t="s">
        <v>441</v>
      </c>
      <c r="D182" s="475">
        <f>D181+D171</f>
        <v>2734362.4</v>
      </c>
      <c r="E182" s="475">
        <f>E181+E171</f>
        <v>2297099.6999999997</v>
      </c>
      <c r="F182" s="475">
        <f>F181+F171</f>
        <v>2377748.9</v>
      </c>
      <c r="G182" s="475">
        <f>G181+G171</f>
        <v>2372223.87</v>
      </c>
    </row>
    <row r="183" spans="1:7" ht="12.75">
      <c r="A183" s="474" t="s">
        <v>442</v>
      </c>
      <c r="B183" s="474"/>
      <c r="C183" s="474" t="s">
        <v>443</v>
      </c>
      <c r="D183" s="475">
        <f>D4+D5-D7+D38+D39+D40+D41+D43+D13-D16+D57+D58+D60+D61+D62</f>
        <v>2578719.417</v>
      </c>
      <c r="E183" s="475">
        <f>E4+E5-E7+E38+E39+E40+E41+E43+E13-E16+E57+E58+E60+E61+E62</f>
        <v>2251726.2</v>
      </c>
      <c r="F183" s="475">
        <f>F4+F5-F7+F38+F39+F40+F41+F43+F13-F16+F57+F58+F60+F61+F62</f>
        <v>2325592.9</v>
      </c>
      <c r="G183" s="475">
        <f>G4+G5-G7+G38+G39+G40+G41+G43+G13-G16+G57+G58+G60+G61+G62</f>
        <v>2296093.9000000004</v>
      </c>
    </row>
    <row r="184" spans="1:7" ht="12.75">
      <c r="A184" s="474" t="s">
        <v>444</v>
      </c>
      <c r="B184" s="474"/>
      <c r="C184" s="474" t="s">
        <v>445</v>
      </c>
      <c r="D184" s="475">
        <f>D183+D170</f>
        <v>2998178.117</v>
      </c>
      <c r="E184" s="475">
        <f>E183+E170</f>
        <v>2497876.2</v>
      </c>
      <c r="F184" s="475">
        <f>F183+F170</f>
        <v>2515645.9</v>
      </c>
      <c r="G184" s="475">
        <f>G183+G170</f>
        <v>2657474.3000000003</v>
      </c>
    </row>
    <row r="185" spans="1:7" ht="12.75">
      <c r="A185" s="474"/>
      <c r="B185" s="474"/>
      <c r="C185" s="474" t="s">
        <v>446</v>
      </c>
      <c r="D185" s="475">
        <f aca="true" t="shared" si="0" ref="D185:G186">D181-D183</f>
        <v>83756.6830000002</v>
      </c>
      <c r="E185" s="475">
        <f t="shared" si="0"/>
        <v>3133.4999999995343</v>
      </c>
      <c r="F185" s="475">
        <f t="shared" si="0"/>
        <v>-22950.700000000186</v>
      </c>
      <c r="G185" s="475">
        <f t="shared" si="0"/>
        <v>15229.96999999974</v>
      </c>
    </row>
    <row r="186" spans="1:7" ht="12.75">
      <c r="A186" s="474"/>
      <c r="B186" s="474"/>
      <c r="C186" s="474" t="s">
        <v>447</v>
      </c>
      <c r="D186" s="475">
        <f t="shared" si="0"/>
        <v>-263815.7170000002</v>
      </c>
      <c r="E186" s="475">
        <f t="shared" si="0"/>
        <v>-200776.50000000047</v>
      </c>
      <c r="F186" s="475">
        <f t="shared" si="0"/>
        <v>-137897</v>
      </c>
      <c r="G186" s="475">
        <f t="shared" si="0"/>
        <v>-285250.43000000017</v>
      </c>
    </row>
  </sheetData>
  <sheetProtection/>
  <mergeCells count="2">
    <mergeCell ref="A3:C3"/>
    <mergeCell ref="A81:C81"/>
  </mergeCells>
  <printOptions/>
  <pageMargins left="0.25" right="0.25" top="0.75" bottom="0.75" header="0.3" footer="0.3"/>
  <pageSetup fitToHeight="4" horizontalDpi="600" verticalDpi="600" orientation="landscape" paperSize="9" r:id="rId1"/>
  <headerFooter alignWithMargins="0">
    <oddHeader>&amp;LFachgruppe für kantonale Finanzfragen (FkF)
Groupe d'études pour les finances cantonales
&amp;CRechnung 2011 - Budget 2013
Compte 2011 - Budget 2013&amp;RZürich, 12.9.2013</oddHeader>
    <oddFooter>&amp;LQuelle/Source: FkF Sept. 2013</oddFooter>
  </headerFooter>
  <rowBreaks count="2" manualBreakCount="2">
    <brk id="79" max="6" man="1"/>
    <brk id="1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36">
      <selection activeCell="A1" sqref="A1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3" width="11.7109375" style="0" customWidth="1"/>
    <col min="4" max="4" width="8.421875" style="0" customWidth="1"/>
    <col min="5" max="5" width="13.28125" style="0" bestFit="1" customWidth="1"/>
    <col min="6" max="6" width="8.8515625" style="0" customWidth="1"/>
    <col min="7" max="7" width="12.28125" style="0" customWidth="1"/>
    <col min="8" max="8" width="8.28125" style="0" customWidth="1"/>
    <col min="9" max="9" width="11.00390625" style="0" customWidth="1"/>
  </cols>
  <sheetData>
    <row r="1" spans="1:9" ht="12.75">
      <c r="A1" s="5" t="s">
        <v>20</v>
      </c>
      <c r="B1" s="6" t="s">
        <v>101</v>
      </c>
      <c r="C1" s="57" t="s">
        <v>22</v>
      </c>
      <c r="D1" s="7" t="s">
        <v>23</v>
      </c>
      <c r="E1" s="57" t="s">
        <v>24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 t="s">
        <v>102</v>
      </c>
      <c r="F3" s="134">
        <v>0</v>
      </c>
      <c r="G3" s="135">
        <v>0</v>
      </c>
      <c r="H3" s="134">
        <v>0</v>
      </c>
      <c r="I3" s="115" t="s">
        <v>103</v>
      </c>
    </row>
    <row r="4" spans="1:9" ht="12.75">
      <c r="A4" s="5" t="s">
        <v>28</v>
      </c>
      <c r="B4" s="9" t="s">
        <v>29</v>
      </c>
      <c r="C4" s="10">
        <v>3500946.113</v>
      </c>
      <c r="D4" s="11">
        <v>0.002110704010141994</v>
      </c>
      <c r="E4" s="10">
        <v>3508335.574</v>
      </c>
      <c r="F4" s="11">
        <v>0.010686494680796478</v>
      </c>
      <c r="G4" s="10">
        <v>3545827.38345</v>
      </c>
      <c r="H4" s="11">
        <v>-0.10376789636386667</v>
      </c>
      <c r="I4" s="12">
        <v>3177884.335</v>
      </c>
    </row>
    <row r="5" spans="1:9" ht="12.75">
      <c r="A5" s="13" t="s">
        <v>30</v>
      </c>
      <c r="B5" s="14" t="s">
        <v>31</v>
      </c>
      <c r="C5" s="15">
        <v>793965.6543200001</v>
      </c>
      <c r="D5" s="16">
        <v>0.1426530552344911</v>
      </c>
      <c r="E5" s="15">
        <v>907227.2806599999</v>
      </c>
      <c r="F5" s="16">
        <v>-0.13066520277450308</v>
      </c>
      <c r="G5" s="15">
        <v>788684.24407</v>
      </c>
      <c r="H5" s="16">
        <v>0.17467202359601455</v>
      </c>
      <c r="I5" s="17">
        <v>926445.31696</v>
      </c>
    </row>
    <row r="6" spans="1:9" ht="12.75">
      <c r="A6" s="13" t="s">
        <v>32</v>
      </c>
      <c r="B6" s="14" t="s">
        <v>33</v>
      </c>
      <c r="C6" s="15">
        <v>57853.12385</v>
      </c>
      <c r="D6" s="16">
        <v>-0.14837836366894822</v>
      </c>
      <c r="E6" s="15">
        <v>49268.972</v>
      </c>
      <c r="F6" s="16">
        <v>-0.01137391967504424</v>
      </c>
      <c r="G6" s="15">
        <v>48708.59067</v>
      </c>
      <c r="H6" s="16">
        <v>-0.07244357969431674</v>
      </c>
      <c r="I6" s="17">
        <v>45179.966</v>
      </c>
    </row>
    <row r="7" spans="1:9" ht="12.75">
      <c r="A7" s="13" t="s">
        <v>34</v>
      </c>
      <c r="B7" s="14" t="s">
        <v>35</v>
      </c>
      <c r="C7" s="15">
        <v>115805.43956999999</v>
      </c>
      <c r="D7" s="16">
        <v>0.1825113786405881</v>
      </c>
      <c r="E7" s="15">
        <v>136941.25</v>
      </c>
      <c r="F7" s="16">
        <v>-0.21135616171168295</v>
      </c>
      <c r="G7" s="15">
        <v>107997.87302</v>
      </c>
      <c r="H7" s="16">
        <v>0.14158091777574516</v>
      </c>
      <c r="I7" s="17">
        <v>123288.31099999999</v>
      </c>
    </row>
    <row r="8" spans="1:9" ht="12.75">
      <c r="A8" s="13" t="s">
        <v>36</v>
      </c>
      <c r="B8" s="14" t="s">
        <v>37</v>
      </c>
      <c r="C8" s="15">
        <v>107088.12792</v>
      </c>
      <c r="D8" s="16">
        <v>-0.11628485959996232</v>
      </c>
      <c r="E8" s="15">
        <v>94635.4</v>
      </c>
      <c r="F8" s="16">
        <v>0.10890919064113436</v>
      </c>
      <c r="G8" s="15">
        <v>104942.06482</v>
      </c>
      <c r="H8" s="16">
        <v>-0.054681741109656255</v>
      </c>
      <c r="I8" s="17">
        <v>99203.65</v>
      </c>
    </row>
    <row r="9" spans="1:9" ht="12.75">
      <c r="A9" s="13" t="s">
        <v>38</v>
      </c>
      <c r="B9" s="14" t="s">
        <v>39</v>
      </c>
      <c r="C9" s="15">
        <v>538019.3164199999</v>
      </c>
      <c r="D9" s="16">
        <v>0.1562404007338262</v>
      </c>
      <c r="E9" s="15">
        <v>622079.67002</v>
      </c>
      <c r="F9" s="16">
        <v>-0.029441429583145193</v>
      </c>
      <c r="G9" s="15">
        <v>603764.7552199999</v>
      </c>
      <c r="H9" s="16">
        <v>0.05517598318216071</v>
      </c>
      <c r="I9" s="17">
        <v>637078.0692</v>
      </c>
    </row>
    <row r="10" spans="1:9" ht="12.75">
      <c r="A10" s="13" t="s">
        <v>40</v>
      </c>
      <c r="B10" s="14" t="s">
        <v>41</v>
      </c>
      <c r="C10" s="15">
        <v>4816021.3833800005</v>
      </c>
      <c r="D10" s="16">
        <v>0.0742261738815444</v>
      </c>
      <c r="E10" s="15">
        <v>5173496.224</v>
      </c>
      <c r="F10" s="16">
        <v>0.01781076416805732</v>
      </c>
      <c r="G10" s="15">
        <v>5265640.145169999</v>
      </c>
      <c r="H10" s="16">
        <v>0.01027958634424556</v>
      </c>
      <c r="I10" s="17">
        <v>5319768.7477</v>
      </c>
    </row>
    <row r="11" spans="1:9" ht="12.75">
      <c r="A11" s="13" t="s">
        <v>42</v>
      </c>
      <c r="B11" s="14" t="s">
        <v>43</v>
      </c>
      <c r="C11" s="15">
        <v>421091.64333999995</v>
      </c>
      <c r="D11" s="43">
        <v>0.6110486843649936</v>
      </c>
      <c r="E11" s="15">
        <v>678399.138</v>
      </c>
      <c r="F11" s="16">
        <v>-0.35075917457902195</v>
      </c>
      <c r="G11" s="15">
        <v>440444.41632</v>
      </c>
      <c r="H11" s="16">
        <v>-0.02047469325493305</v>
      </c>
      <c r="I11" s="17">
        <v>431426.452</v>
      </c>
    </row>
    <row r="12" spans="1:9" ht="12.75">
      <c r="A12" s="13" t="s">
        <v>44</v>
      </c>
      <c r="B12" s="14" t="s">
        <v>45</v>
      </c>
      <c r="C12" s="15">
        <v>673577.7871000001</v>
      </c>
      <c r="D12" s="43">
        <v>0.1144675349701714</v>
      </c>
      <c r="E12" s="15">
        <v>750680.576</v>
      </c>
      <c r="F12" s="16">
        <v>-0.18964922703688014</v>
      </c>
      <c r="G12" s="15">
        <v>608314.58501</v>
      </c>
      <c r="H12" s="16">
        <v>0.44437943187825446</v>
      </c>
      <c r="I12" s="17">
        <v>878637.0747</v>
      </c>
    </row>
    <row r="13" spans="1:9" ht="12.75">
      <c r="A13" s="13" t="s">
        <v>46</v>
      </c>
      <c r="B13" s="14" t="s">
        <v>47</v>
      </c>
      <c r="C13" s="15">
        <v>926430.7978899999</v>
      </c>
      <c r="D13" s="43">
        <v>0.02523822951833282</v>
      </c>
      <c r="E13" s="15">
        <v>949812.271</v>
      </c>
      <c r="F13" s="43">
        <v>0.33348247208526555</v>
      </c>
      <c r="G13" s="15">
        <v>1266558.01515</v>
      </c>
      <c r="H13" s="43">
        <v>-0.04097975262811249</v>
      </c>
      <c r="I13" s="17">
        <v>1214654.781</v>
      </c>
    </row>
    <row r="14" spans="1:9" ht="12.75">
      <c r="A14" s="13" t="s">
        <v>49</v>
      </c>
      <c r="B14" s="14" t="s">
        <v>50</v>
      </c>
      <c r="C14" s="15">
        <v>43766.327600000004</v>
      </c>
      <c r="D14" s="43">
        <v>-0.10275771001631866</v>
      </c>
      <c r="E14" s="15">
        <v>39269</v>
      </c>
      <c r="F14" s="16">
        <v>0.35363733988642443</v>
      </c>
      <c r="G14" s="15">
        <v>53155.9847</v>
      </c>
      <c r="H14" s="16">
        <v>-0.15042491913427014</v>
      </c>
      <c r="I14" s="17">
        <v>45160</v>
      </c>
    </row>
    <row r="15" spans="1:9" ht="12.75">
      <c r="A15" s="13" t="s">
        <v>51</v>
      </c>
      <c r="B15" s="14" t="s">
        <v>52</v>
      </c>
      <c r="C15" s="15">
        <v>0</v>
      </c>
      <c r="D15" s="43" t="s">
        <v>48</v>
      </c>
      <c r="E15" s="15">
        <v>0</v>
      </c>
      <c r="F15" s="16" t="s">
        <v>48</v>
      </c>
      <c r="G15" s="15">
        <v>0</v>
      </c>
      <c r="H15" s="16" t="s">
        <v>48</v>
      </c>
      <c r="I15" s="17">
        <v>0</v>
      </c>
    </row>
    <row r="16" spans="1:9" ht="12.75">
      <c r="A16" s="13" t="s">
        <v>53</v>
      </c>
      <c r="B16" s="14" t="s">
        <v>54</v>
      </c>
      <c r="C16" s="15">
        <v>11173.61355</v>
      </c>
      <c r="D16" s="43">
        <v>-0.4008205161167401</v>
      </c>
      <c r="E16" s="15">
        <v>6695</v>
      </c>
      <c r="F16" s="43">
        <v>-0.1602829200896191</v>
      </c>
      <c r="G16" s="15">
        <v>5621.90585</v>
      </c>
      <c r="H16" s="43">
        <v>0.8740975535903006</v>
      </c>
      <c r="I16" s="17">
        <v>10536</v>
      </c>
    </row>
    <row r="17" spans="1:9" ht="12.75">
      <c r="A17" s="13" t="s">
        <v>55</v>
      </c>
      <c r="B17" s="14" t="s">
        <v>56</v>
      </c>
      <c r="C17" s="15">
        <v>45443.89734999999</v>
      </c>
      <c r="D17" s="16">
        <v>-0.9595034953576664</v>
      </c>
      <c r="E17" s="15">
        <v>1840.319</v>
      </c>
      <c r="F17" s="16">
        <v>9.127296729534391</v>
      </c>
      <c r="G17" s="15">
        <v>18637.45659</v>
      </c>
      <c r="H17" s="16">
        <v>-0.8066994290447868</v>
      </c>
      <c r="I17" s="17">
        <v>3602.6310000000003</v>
      </c>
    </row>
    <row r="18" spans="1:9" ht="12.75">
      <c r="A18" s="13">
        <v>389</v>
      </c>
      <c r="B18" s="14" t="s">
        <v>57</v>
      </c>
      <c r="C18" s="15">
        <v>0</v>
      </c>
      <c r="D18" s="43" t="s">
        <v>48</v>
      </c>
      <c r="E18" s="15">
        <v>0</v>
      </c>
      <c r="F18" s="43" t="s">
        <v>48</v>
      </c>
      <c r="G18" s="15">
        <v>1.5</v>
      </c>
      <c r="H18" s="43">
        <v>-1</v>
      </c>
      <c r="I18" s="17">
        <v>0</v>
      </c>
    </row>
    <row r="19" spans="1:9" ht="12.75">
      <c r="A19" s="18" t="s">
        <v>58</v>
      </c>
      <c r="B19" s="19" t="s">
        <v>59</v>
      </c>
      <c r="C19" s="20">
        <v>44618.49145</v>
      </c>
      <c r="D19" s="43">
        <v>2.243093396874582</v>
      </c>
      <c r="E19" s="20">
        <v>144701.935</v>
      </c>
      <c r="F19" s="43">
        <v>-0.16852166779939745</v>
      </c>
      <c r="G19" s="20">
        <v>120316.52358</v>
      </c>
      <c r="H19" s="43">
        <v>0.15105571437089893</v>
      </c>
      <c r="I19" s="21">
        <v>138491.022</v>
      </c>
    </row>
    <row r="20" spans="1:9" ht="12.75">
      <c r="A20" s="22" t="s">
        <v>60</v>
      </c>
      <c r="B20" s="23" t="s">
        <v>61</v>
      </c>
      <c r="C20" s="24">
        <v>9961908.42341</v>
      </c>
      <c r="D20" s="25">
        <v>0.062974803883537</v>
      </c>
      <c r="E20" s="24">
        <v>10589257.65268</v>
      </c>
      <c r="F20" s="25">
        <v>-0.003158456225827669</v>
      </c>
      <c r="G20" s="24">
        <v>10555811.94592</v>
      </c>
      <c r="H20" s="25">
        <v>-0.01232021408928812</v>
      </c>
      <c r="I20" s="26">
        <v>10425762.08286</v>
      </c>
    </row>
    <row r="21" spans="1:9" ht="12.75">
      <c r="A21" s="27" t="s">
        <v>62</v>
      </c>
      <c r="B21" s="28" t="s">
        <v>63</v>
      </c>
      <c r="C21" s="10">
        <v>4365153.21179</v>
      </c>
      <c r="D21" s="16">
        <v>0.08037674078938584</v>
      </c>
      <c r="E21" s="10">
        <v>4716010</v>
      </c>
      <c r="F21" s="16">
        <v>-0.06879572039287446</v>
      </c>
      <c r="G21" s="10">
        <v>4391568.69467</v>
      </c>
      <c r="H21" s="16">
        <v>0.02817701690063129</v>
      </c>
      <c r="I21" s="12">
        <v>4515310</v>
      </c>
    </row>
    <row r="22" spans="1:9" ht="12.75">
      <c r="A22" s="8" t="s">
        <v>64</v>
      </c>
      <c r="B22" s="29" t="s">
        <v>65</v>
      </c>
      <c r="C22" s="15">
        <v>413888.68885000004</v>
      </c>
      <c r="D22" s="16">
        <v>-0.003815491683012286</v>
      </c>
      <c r="E22" s="15">
        <v>412309.5</v>
      </c>
      <c r="F22" s="16">
        <v>0.02656969128773406</v>
      </c>
      <c r="G22" s="15">
        <v>423264.43613</v>
      </c>
      <c r="H22" s="16">
        <v>-0.28599009460086383</v>
      </c>
      <c r="I22" s="17">
        <v>302215</v>
      </c>
    </row>
    <row r="23" spans="1:9" ht="12.75">
      <c r="A23" s="8" t="s">
        <v>66</v>
      </c>
      <c r="B23" s="29" t="s">
        <v>67</v>
      </c>
      <c r="C23" s="15">
        <v>375486.69531</v>
      </c>
      <c r="D23" s="16">
        <v>-0.3764069941101743</v>
      </c>
      <c r="E23" s="15">
        <v>234150.877</v>
      </c>
      <c r="F23" s="16">
        <v>-0.053295408370390235</v>
      </c>
      <c r="G23" s="15">
        <v>221671.71039</v>
      </c>
      <c r="H23" s="16">
        <v>0.016053999870975694</v>
      </c>
      <c r="I23" s="17">
        <v>225230.428</v>
      </c>
    </row>
    <row r="24" spans="1:9" ht="12.75">
      <c r="A24" s="8" t="s">
        <v>68</v>
      </c>
      <c r="B24" s="29" t="s">
        <v>69</v>
      </c>
      <c r="C24" s="15">
        <v>931691.9578300001</v>
      </c>
      <c r="D24" s="16">
        <v>-0.06385748806780601</v>
      </c>
      <c r="E24" s="15">
        <v>872196.44975</v>
      </c>
      <c r="F24" s="16">
        <v>0.08460026048162662</v>
      </c>
      <c r="G24" s="15">
        <v>945984.49659</v>
      </c>
      <c r="H24" s="16">
        <v>-0.13379787961245748</v>
      </c>
      <c r="I24" s="17">
        <v>819413.7768</v>
      </c>
    </row>
    <row r="25" spans="1:9" ht="12.75">
      <c r="A25" s="8" t="s">
        <v>70</v>
      </c>
      <c r="B25" s="29" t="s">
        <v>71</v>
      </c>
      <c r="C25" s="15">
        <v>3739908.5351199997</v>
      </c>
      <c r="D25" s="16">
        <v>0.05558150495606453</v>
      </c>
      <c r="E25" s="15">
        <v>3947778.2799</v>
      </c>
      <c r="F25" s="16">
        <v>0.014195335600615127</v>
      </c>
      <c r="G25" s="15">
        <v>4003818.3174599996</v>
      </c>
      <c r="H25" s="16">
        <v>0.03536595089804932</v>
      </c>
      <c r="I25" s="17">
        <v>4145417.1594800004</v>
      </c>
    </row>
    <row r="26" spans="1:9" ht="12.75">
      <c r="A26" s="59" t="s">
        <v>72</v>
      </c>
      <c r="B26" s="29" t="s">
        <v>73</v>
      </c>
      <c r="C26" s="15">
        <v>147805.41683</v>
      </c>
      <c r="D26" s="16">
        <v>0.7921683499913175</v>
      </c>
      <c r="E26" s="15">
        <v>264892.19</v>
      </c>
      <c r="F26" s="16">
        <v>-0.042815441746319495</v>
      </c>
      <c r="G26" s="15">
        <v>253550.71387</v>
      </c>
      <c r="H26" s="16">
        <v>0.13033459995282637</v>
      </c>
      <c r="I26" s="17">
        <v>286597.14473</v>
      </c>
    </row>
    <row r="27" spans="1:9" ht="12.75">
      <c r="A27" s="195">
        <v>489</v>
      </c>
      <c r="B27" s="29" t="s">
        <v>74</v>
      </c>
      <c r="C27" s="15">
        <v>0</v>
      </c>
      <c r="D27" s="16" t="s">
        <v>48</v>
      </c>
      <c r="E27" s="15">
        <v>15335</v>
      </c>
      <c r="F27" s="16">
        <v>0</v>
      </c>
      <c r="G27" s="15">
        <v>6715.37443</v>
      </c>
      <c r="H27" s="16">
        <v>-0.5662685438673298</v>
      </c>
      <c r="I27" s="17">
        <v>2912.6691299999998</v>
      </c>
    </row>
    <row r="28" spans="1:9" ht="12.75">
      <c r="A28" s="30" t="s">
        <v>75</v>
      </c>
      <c r="B28" s="31" t="s">
        <v>76</v>
      </c>
      <c r="C28" s="20">
        <v>44615.9116</v>
      </c>
      <c r="D28" s="16">
        <v>2.226418655088065</v>
      </c>
      <c r="E28" s="20">
        <v>143949.6095</v>
      </c>
      <c r="F28" s="16">
        <v>-0.16417610302721938</v>
      </c>
      <c r="G28" s="20">
        <v>120316.52358</v>
      </c>
      <c r="H28" s="16">
        <v>0.14565637784861268</v>
      </c>
      <c r="I28" s="21">
        <v>137841.3926</v>
      </c>
    </row>
    <row r="29" spans="1:9" ht="12.75">
      <c r="A29" s="51" t="s">
        <v>77</v>
      </c>
      <c r="B29" s="52" t="s">
        <v>78</v>
      </c>
      <c r="C29" s="24">
        <v>10018550.417329999</v>
      </c>
      <c r="D29" s="53">
        <v>0.058698261157897724</v>
      </c>
      <c r="E29" s="24">
        <v>10606621.90615</v>
      </c>
      <c r="F29" s="53">
        <v>-0.022602072662833154</v>
      </c>
      <c r="G29" s="24">
        <v>10366890.26712</v>
      </c>
      <c r="H29" s="54">
        <v>0.006563907002644824</v>
      </c>
      <c r="I29" s="26">
        <v>10434937.57074</v>
      </c>
    </row>
    <row r="30" spans="1:9" ht="12.75">
      <c r="A30" s="50" t="s">
        <v>79</v>
      </c>
      <c r="B30" s="32" t="s">
        <v>80</v>
      </c>
      <c r="C30" s="33">
        <v>56641.99391999841</v>
      </c>
      <c r="D30" s="136">
        <v>0</v>
      </c>
      <c r="E30" s="33">
        <v>17364.25346999988</v>
      </c>
      <c r="F30" s="136">
        <v>0</v>
      </c>
      <c r="G30" s="34">
        <v>-188921.67879999988</v>
      </c>
      <c r="H30" s="137">
        <v>0</v>
      </c>
      <c r="I30" s="35">
        <v>9175.487879998982</v>
      </c>
    </row>
    <row r="31" spans="1:9" ht="12.75">
      <c r="A31" s="140">
        <v>0</v>
      </c>
      <c r="B31" s="28" t="s">
        <v>81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>
        <v>0</v>
      </c>
      <c r="I31" s="139">
        <v>0</v>
      </c>
    </row>
    <row r="32" spans="1:9" ht="12.75">
      <c r="A32" s="59" t="s">
        <v>82</v>
      </c>
      <c r="B32" s="29" t="s">
        <v>83</v>
      </c>
      <c r="C32" s="15">
        <v>684305.9707599999</v>
      </c>
      <c r="D32" s="16">
        <v>-0.028513157262576513</v>
      </c>
      <c r="E32" s="15">
        <v>664794.247</v>
      </c>
      <c r="F32" s="16">
        <v>0.3525484073570812</v>
      </c>
      <c r="G32" s="15">
        <v>899166.4</v>
      </c>
      <c r="H32" s="16">
        <v>-0.3023794683609175</v>
      </c>
      <c r="I32" s="17">
        <v>627276.9419999999</v>
      </c>
    </row>
    <row r="33" spans="1:9" ht="12.75">
      <c r="A33" s="59" t="s">
        <v>84</v>
      </c>
      <c r="B33" s="29" t="s">
        <v>85</v>
      </c>
      <c r="C33" s="15">
        <v>20044.19005</v>
      </c>
      <c r="D33" s="16">
        <v>-0.045858178739429836</v>
      </c>
      <c r="E33" s="15">
        <v>19125</v>
      </c>
      <c r="F33" s="16">
        <v>-0.3342692810457516</v>
      </c>
      <c r="G33" s="15">
        <v>12732.1</v>
      </c>
      <c r="H33" s="16">
        <v>0.25156101507214046</v>
      </c>
      <c r="I33" s="17">
        <v>15935</v>
      </c>
    </row>
    <row r="34" spans="1:9" ht="12.75">
      <c r="A34" s="8" t="s">
        <v>86</v>
      </c>
      <c r="B34" s="29" t="s">
        <v>87</v>
      </c>
      <c r="C34" s="15">
        <v>363679.74177</v>
      </c>
      <c r="D34" s="16">
        <v>-0.06967248752069533</v>
      </c>
      <c r="E34" s="15">
        <v>338341.2695</v>
      </c>
      <c r="F34" s="16">
        <v>0.09753386144340871</v>
      </c>
      <c r="G34" s="15">
        <v>371341</v>
      </c>
      <c r="H34" s="16">
        <v>-0.039427462628689035</v>
      </c>
      <c r="I34" s="17">
        <v>356699.9666</v>
      </c>
    </row>
    <row r="35" spans="1:9" ht="12.75">
      <c r="A35" s="51" t="s">
        <v>88</v>
      </c>
      <c r="B35" s="52" t="s">
        <v>89</v>
      </c>
      <c r="C35" s="24">
        <v>1068029.90258</v>
      </c>
      <c r="D35" s="54">
        <v>-0.04285403055610773</v>
      </c>
      <c r="E35" s="24">
        <v>1022260.5164999999</v>
      </c>
      <c r="F35" s="54">
        <v>0.25529596349229644</v>
      </c>
      <c r="G35" s="24">
        <v>1283239.5</v>
      </c>
      <c r="H35" s="54">
        <v>-0.22079089008715835</v>
      </c>
      <c r="I35" s="26">
        <v>999911.9086</v>
      </c>
    </row>
    <row r="36" spans="1:9" ht="12.75">
      <c r="A36" s="8" t="s">
        <v>90</v>
      </c>
      <c r="B36" s="29" t="s">
        <v>91</v>
      </c>
      <c r="C36" s="15">
        <v>3426.5937000000004</v>
      </c>
      <c r="D36" s="16">
        <v>-0.9708164991956881</v>
      </c>
      <c r="E36" s="15">
        <v>100</v>
      </c>
      <c r="F36" s="16">
        <v>22.0525645</v>
      </c>
      <c r="G36" s="15">
        <v>2305.25645</v>
      </c>
      <c r="H36" s="16">
        <v>-0.5852955969389002</v>
      </c>
      <c r="I36" s="17">
        <v>956</v>
      </c>
    </row>
    <row r="37" spans="1:9" ht="12.75">
      <c r="A37" s="8" t="s">
        <v>92</v>
      </c>
      <c r="B37" s="29" t="s">
        <v>93</v>
      </c>
      <c r="C37" s="15">
        <v>482600.97430000006</v>
      </c>
      <c r="D37" s="16">
        <v>-0.10987995699121005</v>
      </c>
      <c r="E37" s="15">
        <v>429572.8</v>
      </c>
      <c r="F37" s="16">
        <v>0.03179786988375428</v>
      </c>
      <c r="G37" s="15">
        <v>443232.3</v>
      </c>
      <c r="H37" s="16">
        <v>-0.08116860391266616</v>
      </c>
      <c r="I37" s="17">
        <v>407255.75299999997</v>
      </c>
    </row>
    <row r="38" spans="1:9" ht="12.75">
      <c r="A38" s="51" t="s">
        <v>94</v>
      </c>
      <c r="B38" s="52" t="s">
        <v>95</v>
      </c>
      <c r="C38" s="24">
        <v>486027.5680000001</v>
      </c>
      <c r="D38" s="54">
        <v>-0.11594973559195328</v>
      </c>
      <c r="E38" s="24">
        <v>429672.8</v>
      </c>
      <c r="F38" s="54">
        <v>0.03692287817613772</v>
      </c>
      <c r="G38" s="24">
        <v>445537.55645</v>
      </c>
      <c r="H38" s="54">
        <v>-0.08377700804261798</v>
      </c>
      <c r="I38" s="26">
        <v>408211.75299999997</v>
      </c>
    </row>
    <row r="39" spans="1:9" ht="12.75">
      <c r="A39" s="36" t="s">
        <v>96</v>
      </c>
      <c r="B39" s="37" t="s">
        <v>3</v>
      </c>
      <c r="C39" s="38">
        <v>582002.3345799999</v>
      </c>
      <c r="D39" s="39">
        <v>0.018187868486195784</v>
      </c>
      <c r="E39" s="38">
        <v>592587.7164999999</v>
      </c>
      <c r="F39" s="39">
        <v>0.41363366169268234</v>
      </c>
      <c r="G39" s="38">
        <v>837701.94355</v>
      </c>
      <c r="H39" s="39">
        <v>-0.2936626682606197</v>
      </c>
      <c r="I39" s="40">
        <v>591700.1555999999</v>
      </c>
    </row>
    <row r="40" spans="1:9" ht="12.75">
      <c r="A40" s="131" t="s">
        <v>0</v>
      </c>
      <c r="B40" s="29" t="s">
        <v>97</v>
      </c>
      <c r="C40" s="15">
        <v>594661.3103399983</v>
      </c>
      <c r="D40" s="16">
        <v>0.07530776321129247</v>
      </c>
      <c r="E40" s="15">
        <v>639443.9234899998</v>
      </c>
      <c r="F40" s="16">
        <v>-0.36174356030707877</v>
      </c>
      <c r="G40" s="15">
        <v>408129.20199000003</v>
      </c>
      <c r="H40" s="16">
        <v>0.5763167271862161</v>
      </c>
      <c r="I40" s="17">
        <v>643340.887949999</v>
      </c>
    </row>
    <row r="41" spans="1:9" ht="12.75">
      <c r="A41" s="131" t="s">
        <v>0</v>
      </c>
      <c r="B41" s="29" t="s">
        <v>98</v>
      </c>
      <c r="C41" s="15">
        <v>12658.97575999843</v>
      </c>
      <c r="D41" s="16">
        <v>2.7014216535639997</v>
      </c>
      <c r="E41" s="15">
        <v>46856.20698999998</v>
      </c>
      <c r="F41" s="16">
        <v>-10.167894056206451</v>
      </c>
      <c r="G41" s="15">
        <v>-429572.74155999994</v>
      </c>
      <c r="H41" s="16">
        <v>-1.120214174117438</v>
      </c>
      <c r="I41" s="17">
        <v>51640.732349999016</v>
      </c>
    </row>
    <row r="42" spans="1:9" ht="12.75">
      <c r="A42" s="141" t="s">
        <v>0</v>
      </c>
      <c r="B42" s="31" t="s">
        <v>99</v>
      </c>
      <c r="C42" s="20">
        <v>10294768.49285</v>
      </c>
      <c r="D42" s="129">
        <v>0.04405075768580546</v>
      </c>
      <c r="E42" s="20">
        <v>10748260.84516</v>
      </c>
      <c r="F42" s="129">
        <v>0.022620245642761903</v>
      </c>
      <c r="G42" s="20">
        <v>10991389.145709999</v>
      </c>
      <c r="H42" s="129">
        <v>-0.04040349409549639</v>
      </c>
      <c r="I42" s="21">
        <v>10547298.619260002</v>
      </c>
    </row>
    <row r="43" spans="1:9" ht="12.75">
      <c r="A43" s="141">
        <v>0</v>
      </c>
      <c r="B43" s="31" t="s">
        <v>5</v>
      </c>
      <c r="C43" s="66">
        <v>1.0217507302082107</v>
      </c>
      <c r="D43" s="142">
        <v>0</v>
      </c>
      <c r="E43" s="41">
        <v>1.0790704999198206</v>
      </c>
      <c r="F43" s="142">
        <v>0</v>
      </c>
      <c r="G43" s="41">
        <v>0.4872009730100859</v>
      </c>
      <c r="H43" s="142">
        <v>0</v>
      </c>
      <c r="I43" s="42">
        <v>1.0872751711508912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4" max="4" width="8.7109375" style="0" customWidth="1"/>
    <col min="6" max="6" width="8.00390625" style="0" customWidth="1"/>
    <col min="8" max="8" width="7.8515625" style="0" customWidth="1"/>
    <col min="9" max="9" width="10.57421875" style="0" customWidth="1"/>
  </cols>
  <sheetData>
    <row r="1" spans="1:9" ht="12.75">
      <c r="A1" s="5" t="s">
        <v>20</v>
      </c>
      <c r="B1" s="6" t="s">
        <v>164</v>
      </c>
      <c r="C1" s="57" t="s">
        <v>22</v>
      </c>
      <c r="D1" s="7" t="s">
        <v>23</v>
      </c>
      <c r="E1" s="57" t="s">
        <v>24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>
        <v>0</v>
      </c>
      <c r="F3" s="134">
        <v>0</v>
      </c>
      <c r="G3" s="135">
        <v>0</v>
      </c>
      <c r="H3" s="134">
        <v>0</v>
      </c>
      <c r="I3" s="115" t="s">
        <v>103</v>
      </c>
    </row>
    <row r="4" spans="1:9" ht="12.75">
      <c r="A4" s="5" t="s">
        <v>28</v>
      </c>
      <c r="B4" s="9" t="s">
        <v>29</v>
      </c>
      <c r="C4" s="10">
        <v>174480.07003</v>
      </c>
      <c r="D4" s="11">
        <v>-0.007872933738299281</v>
      </c>
      <c r="E4" s="10">
        <v>173106.4</v>
      </c>
      <c r="F4" s="11">
        <v>-0.007825406686292304</v>
      </c>
      <c r="G4" s="10">
        <v>171751.77202</v>
      </c>
      <c r="H4" s="11">
        <v>0.02390559312262519</v>
      </c>
      <c r="I4" s="12">
        <v>175857.6</v>
      </c>
    </row>
    <row r="5" spans="1:9" ht="12.75">
      <c r="A5" s="13" t="s">
        <v>30</v>
      </c>
      <c r="B5" s="14" t="s">
        <v>31</v>
      </c>
      <c r="C5" s="15">
        <v>63333.51936</v>
      </c>
      <c r="D5" s="16">
        <v>1.7062686724506233E-05</v>
      </c>
      <c r="E5" s="15">
        <v>63334.6</v>
      </c>
      <c r="F5" s="16">
        <v>-0.014860042693882887</v>
      </c>
      <c r="G5" s="15">
        <v>62393.44514</v>
      </c>
      <c r="H5" s="16">
        <v>0.07156288372891083</v>
      </c>
      <c r="I5" s="17">
        <v>66858.5</v>
      </c>
    </row>
    <row r="6" spans="1:9" ht="12.75">
      <c r="A6" s="13" t="s">
        <v>32</v>
      </c>
      <c r="B6" s="14" t="s">
        <v>33</v>
      </c>
      <c r="C6" s="15">
        <v>8360.98341</v>
      </c>
      <c r="D6" s="16">
        <v>0.03430416925082722</v>
      </c>
      <c r="E6" s="15">
        <v>8647.8</v>
      </c>
      <c r="F6" s="16">
        <v>0.016930414671939738</v>
      </c>
      <c r="G6" s="15">
        <v>8794.21084</v>
      </c>
      <c r="H6" s="16">
        <v>0.16574416812594858</v>
      </c>
      <c r="I6" s="17">
        <v>10251.8</v>
      </c>
    </row>
    <row r="7" spans="1:9" ht="12.75">
      <c r="A7" s="13" t="s">
        <v>34</v>
      </c>
      <c r="B7" s="14" t="s">
        <v>35</v>
      </c>
      <c r="C7" s="15">
        <v>2891.27342</v>
      </c>
      <c r="D7" s="16">
        <v>-0.2587349279474233</v>
      </c>
      <c r="E7" s="15">
        <v>2143.2</v>
      </c>
      <c r="F7" s="16">
        <v>0.6525376819708849</v>
      </c>
      <c r="G7" s="15">
        <v>3541.71876</v>
      </c>
      <c r="H7" s="16">
        <v>-0.43095425227947803</v>
      </c>
      <c r="I7" s="17">
        <v>2015.4</v>
      </c>
    </row>
    <row r="8" spans="1:9" ht="12.75">
      <c r="A8" s="13" t="s">
        <v>36</v>
      </c>
      <c r="B8" s="14" t="s">
        <v>37</v>
      </c>
      <c r="C8" s="15">
        <v>5179.60994</v>
      </c>
      <c r="D8" s="16">
        <v>-0.22874501240917766</v>
      </c>
      <c r="E8" s="15">
        <v>3994.8</v>
      </c>
      <c r="F8" s="16">
        <v>-0.2782118504055272</v>
      </c>
      <c r="G8" s="15">
        <v>2883.3993</v>
      </c>
      <c r="H8" s="16">
        <v>0.2493240183556957</v>
      </c>
      <c r="I8" s="17">
        <v>3602.3</v>
      </c>
    </row>
    <row r="9" spans="1:9" ht="12.75">
      <c r="A9" s="13" t="s">
        <v>38</v>
      </c>
      <c r="B9" s="14" t="s">
        <v>39</v>
      </c>
      <c r="C9" s="15">
        <v>13501.3125</v>
      </c>
      <c r="D9" s="16">
        <v>0.16068715541544568</v>
      </c>
      <c r="E9" s="15">
        <v>15670.8</v>
      </c>
      <c r="F9" s="16">
        <v>-0.02118777981979221</v>
      </c>
      <c r="G9" s="15">
        <v>15338.77054</v>
      </c>
      <c r="H9" s="16">
        <v>0.12694169033445896</v>
      </c>
      <c r="I9" s="17">
        <v>17285.9</v>
      </c>
    </row>
    <row r="10" spans="1:9" ht="12.75">
      <c r="A10" s="13" t="s">
        <v>40</v>
      </c>
      <c r="B10" s="14" t="s">
        <v>41</v>
      </c>
      <c r="C10" s="15">
        <v>364669.97727</v>
      </c>
      <c r="D10" s="16">
        <v>0.002092365090518783</v>
      </c>
      <c r="E10" s="15">
        <v>365433</v>
      </c>
      <c r="F10" s="16">
        <v>0.019688872269335304</v>
      </c>
      <c r="G10" s="15">
        <v>372627.96366</v>
      </c>
      <c r="H10" s="16">
        <v>-0.004010068501899869</v>
      </c>
      <c r="I10" s="17">
        <v>371133.69999999995</v>
      </c>
    </row>
    <row r="11" spans="1:9" ht="12.75">
      <c r="A11" s="13" t="s">
        <v>42</v>
      </c>
      <c r="B11" s="14" t="s">
        <v>43</v>
      </c>
      <c r="C11" s="15">
        <v>73693.47275</v>
      </c>
      <c r="D11" s="43">
        <v>-0.049088102582328104</v>
      </c>
      <c r="E11" s="15">
        <v>70076</v>
      </c>
      <c r="F11" s="16">
        <v>-0.03140676451281467</v>
      </c>
      <c r="G11" s="15">
        <v>67875.13957</v>
      </c>
      <c r="H11" s="16">
        <v>0.02327008739880528</v>
      </c>
      <c r="I11" s="17">
        <v>69454.6</v>
      </c>
    </row>
    <row r="12" spans="1:9" ht="12.75">
      <c r="A12" s="13" t="s">
        <v>44</v>
      </c>
      <c r="B12" s="14" t="s">
        <v>45</v>
      </c>
      <c r="C12" s="15">
        <v>4357.0214</v>
      </c>
      <c r="D12" s="43">
        <v>-0.03603870295427047</v>
      </c>
      <c r="E12" s="15">
        <v>4200</v>
      </c>
      <c r="F12" s="16">
        <v>-0.0035497261904761435</v>
      </c>
      <c r="G12" s="15">
        <v>4185.09115</v>
      </c>
      <c r="H12" s="16">
        <v>0.01312010850707512</v>
      </c>
      <c r="I12" s="17">
        <v>4240</v>
      </c>
    </row>
    <row r="13" spans="1:9" ht="12.75">
      <c r="A13" s="13" t="s">
        <v>46</v>
      </c>
      <c r="B13" s="14" t="s">
        <v>47</v>
      </c>
      <c r="C13" s="15">
        <v>106680.27194</v>
      </c>
      <c r="D13" s="43">
        <v>-0.023196153281196903</v>
      </c>
      <c r="E13" s="15">
        <v>104205.7</v>
      </c>
      <c r="F13" s="43">
        <v>0.08663969398986819</v>
      </c>
      <c r="G13" s="15">
        <v>113234.04996</v>
      </c>
      <c r="H13" s="43">
        <v>-0.07172798255356161</v>
      </c>
      <c r="I13" s="17">
        <v>105112</v>
      </c>
    </row>
    <row r="14" spans="1:9" ht="12.75">
      <c r="A14" s="13" t="s">
        <v>49</v>
      </c>
      <c r="B14" s="14" t="s">
        <v>50</v>
      </c>
      <c r="C14" s="15">
        <v>0</v>
      </c>
      <c r="D14" s="43" t="s">
        <v>48</v>
      </c>
      <c r="E14" s="15">
        <v>0</v>
      </c>
      <c r="F14" s="16" t="s">
        <v>48</v>
      </c>
      <c r="G14" s="15">
        <v>0</v>
      </c>
      <c r="H14" s="16" t="s">
        <v>48</v>
      </c>
      <c r="I14" s="17">
        <v>0</v>
      </c>
    </row>
    <row r="15" spans="1:9" ht="12.75">
      <c r="A15" s="13" t="s">
        <v>51</v>
      </c>
      <c r="B15" s="14" t="s">
        <v>52</v>
      </c>
      <c r="C15" s="15">
        <v>0</v>
      </c>
      <c r="D15" s="43" t="s">
        <v>48</v>
      </c>
      <c r="E15" s="15">
        <v>0</v>
      </c>
      <c r="F15" s="16" t="s">
        <v>48</v>
      </c>
      <c r="G15" s="15">
        <v>0</v>
      </c>
      <c r="H15" s="16" t="s">
        <v>48</v>
      </c>
      <c r="I15" s="17">
        <v>0</v>
      </c>
    </row>
    <row r="16" spans="1:9" ht="12.75">
      <c r="A16" s="13" t="s">
        <v>53</v>
      </c>
      <c r="B16" s="14" t="s">
        <v>54</v>
      </c>
      <c r="C16" s="15">
        <v>603.34055</v>
      </c>
      <c r="D16" s="43">
        <v>1.3568778859634083</v>
      </c>
      <c r="E16" s="15">
        <v>1422</v>
      </c>
      <c r="F16" s="43">
        <v>-0.56521655907173</v>
      </c>
      <c r="G16" s="15">
        <v>618.262053</v>
      </c>
      <c r="H16" s="43">
        <v>0.1685983257329234</v>
      </c>
      <c r="I16" s="17">
        <v>722.5</v>
      </c>
    </row>
    <row r="17" spans="1:9" ht="12.75">
      <c r="A17" s="13" t="s">
        <v>55</v>
      </c>
      <c r="B17" s="14" t="s">
        <v>56</v>
      </c>
      <c r="C17" s="15">
        <v>6697.617</v>
      </c>
      <c r="D17" s="16">
        <v>-0.035925762849682234</v>
      </c>
      <c r="E17" s="15">
        <v>6457</v>
      </c>
      <c r="F17" s="16">
        <v>-0.0013603840792937355</v>
      </c>
      <c r="G17" s="15">
        <v>6448.216</v>
      </c>
      <c r="H17" s="16">
        <v>0.008495993310397736</v>
      </c>
      <c r="I17" s="17">
        <v>6503</v>
      </c>
    </row>
    <row r="18" spans="1:9" ht="12.75">
      <c r="A18" s="13">
        <v>389</v>
      </c>
      <c r="B18" s="14" t="s">
        <v>57</v>
      </c>
      <c r="C18" s="15">
        <v>0</v>
      </c>
      <c r="D18" s="43" t="s">
        <v>48</v>
      </c>
      <c r="E18" s="15">
        <v>0</v>
      </c>
      <c r="F18" s="43" t="s">
        <v>48</v>
      </c>
      <c r="G18" s="15">
        <v>0</v>
      </c>
      <c r="H18" s="43" t="s">
        <v>48</v>
      </c>
      <c r="I18" s="17">
        <v>0</v>
      </c>
    </row>
    <row r="19" spans="1:9" ht="12.75">
      <c r="A19" s="18" t="s">
        <v>58</v>
      </c>
      <c r="B19" s="19" t="s">
        <v>59</v>
      </c>
      <c r="C19" s="20">
        <v>20953.86166</v>
      </c>
      <c r="D19" s="43">
        <v>-0.04591333452566086</v>
      </c>
      <c r="E19" s="20">
        <v>19991.8</v>
      </c>
      <c r="F19" s="43">
        <v>0.019866777878930382</v>
      </c>
      <c r="G19" s="20">
        <v>20388.97265</v>
      </c>
      <c r="H19" s="43">
        <v>0.021253025222926058</v>
      </c>
      <c r="I19" s="21">
        <v>20822.3</v>
      </c>
    </row>
    <row r="20" spans="1:9" ht="12.75">
      <c r="A20" s="22" t="s">
        <v>60</v>
      </c>
      <c r="B20" s="23" t="s">
        <v>61</v>
      </c>
      <c r="C20" s="24">
        <v>651707.2411799999</v>
      </c>
      <c r="D20" s="25">
        <v>-0.002417713170022505</v>
      </c>
      <c r="E20" s="24">
        <v>650131.6</v>
      </c>
      <c r="F20" s="25">
        <v>0.008063995151135742</v>
      </c>
      <c r="G20" s="24">
        <v>655374.2580700001</v>
      </c>
      <c r="H20" s="25">
        <v>0.013281635375233398</v>
      </c>
      <c r="I20" s="26">
        <v>664078.7</v>
      </c>
    </row>
    <row r="21" spans="1:9" ht="12.75">
      <c r="A21" s="27" t="s">
        <v>62</v>
      </c>
      <c r="B21" s="28" t="s">
        <v>63</v>
      </c>
      <c r="C21" s="10">
        <v>263080.8738</v>
      </c>
      <c r="D21" s="16">
        <v>-0.017602472323854663</v>
      </c>
      <c r="E21" s="10">
        <v>258450</v>
      </c>
      <c r="F21" s="16">
        <v>0.010033696807893254</v>
      </c>
      <c r="G21" s="10">
        <v>261043.20894</v>
      </c>
      <c r="H21" s="16">
        <v>0.05890515643919431</v>
      </c>
      <c r="I21" s="12">
        <v>276420</v>
      </c>
    </row>
    <row r="22" spans="1:9" ht="12.75">
      <c r="A22" s="8" t="s">
        <v>64</v>
      </c>
      <c r="B22" s="29" t="s">
        <v>65</v>
      </c>
      <c r="C22" s="15">
        <v>18107.0852</v>
      </c>
      <c r="D22" s="16">
        <v>0.019103836767719998</v>
      </c>
      <c r="E22" s="15">
        <v>18453</v>
      </c>
      <c r="F22" s="16">
        <v>-0.04389934157047621</v>
      </c>
      <c r="G22" s="15">
        <v>17642.925450000002</v>
      </c>
      <c r="H22" s="16">
        <v>0.07442498998940096</v>
      </c>
      <c r="I22" s="17">
        <v>18956</v>
      </c>
    </row>
    <row r="23" spans="1:9" ht="12.75">
      <c r="A23" s="8" t="s">
        <v>66</v>
      </c>
      <c r="B23" s="29" t="s">
        <v>67</v>
      </c>
      <c r="C23" s="15">
        <v>66738.64693</v>
      </c>
      <c r="D23" s="16">
        <v>-0.25772094163132303</v>
      </c>
      <c r="E23" s="15">
        <v>49538.7</v>
      </c>
      <c r="F23" s="16">
        <v>0.23668278477230936</v>
      </c>
      <c r="G23" s="15">
        <v>61263.65747</v>
      </c>
      <c r="H23" s="16">
        <v>-0.07923551531961771</v>
      </c>
      <c r="I23" s="17">
        <v>56409.4</v>
      </c>
    </row>
    <row r="24" spans="1:9" ht="12.75">
      <c r="A24" s="8" t="s">
        <v>68</v>
      </c>
      <c r="B24" s="29" t="s">
        <v>69</v>
      </c>
      <c r="C24" s="15">
        <v>68508.73572</v>
      </c>
      <c r="D24" s="16">
        <v>0.006191389689828555</v>
      </c>
      <c r="E24" s="15">
        <v>68932.9</v>
      </c>
      <c r="F24" s="16">
        <v>0.02895789963863412</v>
      </c>
      <c r="G24" s="15">
        <v>70929.052</v>
      </c>
      <c r="H24" s="16">
        <v>0.008692460742320506</v>
      </c>
      <c r="I24" s="17">
        <v>71545.6</v>
      </c>
    </row>
    <row r="25" spans="1:9" ht="12.75">
      <c r="A25" s="8" t="s">
        <v>70</v>
      </c>
      <c r="B25" s="29" t="s">
        <v>71</v>
      </c>
      <c r="C25" s="15">
        <v>195913.78151</v>
      </c>
      <c r="D25" s="16">
        <v>-0.023575582454694464</v>
      </c>
      <c r="E25" s="15">
        <v>191295</v>
      </c>
      <c r="F25" s="16">
        <v>-0.03057627266786908</v>
      </c>
      <c r="G25" s="15">
        <v>185445.91191999998</v>
      </c>
      <c r="H25" s="16">
        <v>0.01631790126118001</v>
      </c>
      <c r="I25" s="17">
        <v>188472.00000000003</v>
      </c>
    </row>
    <row r="26" spans="1:9" ht="12.75">
      <c r="A26" s="59" t="s">
        <v>72</v>
      </c>
      <c r="B26" s="29" t="s">
        <v>73</v>
      </c>
      <c r="C26" s="15">
        <v>6955.32259</v>
      </c>
      <c r="D26" s="16">
        <v>0.0910924549942406</v>
      </c>
      <c r="E26" s="15">
        <v>7588.9</v>
      </c>
      <c r="F26" s="16">
        <v>0.15510072210728823</v>
      </c>
      <c r="G26" s="15">
        <v>8765.94387</v>
      </c>
      <c r="H26" s="16">
        <v>-0.10714691811048517</v>
      </c>
      <c r="I26" s="17">
        <v>7826.7</v>
      </c>
    </row>
    <row r="27" spans="1:9" ht="12.75">
      <c r="A27" s="195">
        <v>489</v>
      </c>
      <c r="B27" s="29" t="s">
        <v>74</v>
      </c>
      <c r="C27" s="15">
        <v>0</v>
      </c>
      <c r="D27" s="16" t="s">
        <v>48</v>
      </c>
      <c r="E27" s="15">
        <v>0</v>
      </c>
      <c r="F27" s="16" t="s">
        <v>48</v>
      </c>
      <c r="G27" s="15">
        <v>0</v>
      </c>
      <c r="H27" s="16" t="s">
        <v>48</v>
      </c>
      <c r="I27" s="17">
        <v>0</v>
      </c>
    </row>
    <row r="28" spans="1:9" ht="12.75">
      <c r="A28" s="30" t="s">
        <v>75</v>
      </c>
      <c r="B28" s="31" t="s">
        <v>76</v>
      </c>
      <c r="C28" s="20">
        <v>20953.86166</v>
      </c>
      <c r="D28" s="16">
        <v>-0.04591333452566086</v>
      </c>
      <c r="E28" s="20">
        <v>19991.8</v>
      </c>
      <c r="F28" s="16">
        <v>0.019866777878930382</v>
      </c>
      <c r="G28" s="20">
        <v>20388.97265</v>
      </c>
      <c r="H28" s="16">
        <v>0.021253025222926058</v>
      </c>
      <c r="I28" s="21">
        <v>20822.3</v>
      </c>
    </row>
    <row r="29" spans="1:9" ht="12.75">
      <c r="A29" s="51" t="s">
        <v>77</v>
      </c>
      <c r="B29" s="52" t="s">
        <v>78</v>
      </c>
      <c r="C29" s="24">
        <v>640258.30741</v>
      </c>
      <c r="D29" s="53">
        <v>-0.04062111667899891</v>
      </c>
      <c r="E29" s="24">
        <v>614250.3</v>
      </c>
      <c r="F29" s="53">
        <v>0.018281427457178173</v>
      </c>
      <c r="G29" s="24">
        <v>625479.6723</v>
      </c>
      <c r="H29" s="54">
        <v>0.02393735298374144</v>
      </c>
      <c r="I29" s="26">
        <v>640452</v>
      </c>
    </row>
    <row r="30" spans="1:9" ht="12.75">
      <c r="A30" s="50" t="s">
        <v>79</v>
      </c>
      <c r="B30" s="32" t="s">
        <v>80</v>
      </c>
      <c r="C30" s="33">
        <v>-11448.933769999887</v>
      </c>
      <c r="D30" s="136">
        <v>0</v>
      </c>
      <c r="E30" s="33">
        <v>-35881.29999999993</v>
      </c>
      <c r="F30" s="136">
        <v>0</v>
      </c>
      <c r="G30" s="34">
        <v>-29894.58577000012</v>
      </c>
      <c r="H30" s="137">
        <v>0</v>
      </c>
      <c r="I30" s="35">
        <v>-23626.699999999953</v>
      </c>
    </row>
    <row r="31" spans="1:9" ht="12.75">
      <c r="A31" s="140">
        <v>0</v>
      </c>
      <c r="B31" s="28" t="s">
        <v>81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>
        <v>0</v>
      </c>
      <c r="I31" s="139">
        <v>0</v>
      </c>
    </row>
    <row r="32" spans="1:9" ht="12.75">
      <c r="A32" s="59" t="s">
        <v>82</v>
      </c>
      <c r="B32" s="29" t="s">
        <v>83</v>
      </c>
      <c r="C32" s="15">
        <v>29403.51675</v>
      </c>
      <c r="D32" s="16">
        <v>-0.1361407475178968</v>
      </c>
      <c r="E32" s="15">
        <v>25400.5</v>
      </c>
      <c r="F32" s="16">
        <v>-0.15742370858841354</v>
      </c>
      <c r="G32" s="15">
        <v>21401.85909</v>
      </c>
      <c r="H32" s="16">
        <v>0.07112190130768672</v>
      </c>
      <c r="I32" s="17">
        <v>22924</v>
      </c>
    </row>
    <row r="33" spans="1:9" ht="12.75">
      <c r="A33" s="59" t="s">
        <v>84</v>
      </c>
      <c r="B33" s="29" t="s">
        <v>85</v>
      </c>
      <c r="C33" s="15">
        <v>84.85</v>
      </c>
      <c r="D33" s="16">
        <v>0.41426045963464947</v>
      </c>
      <c r="E33" s="15">
        <v>120</v>
      </c>
      <c r="F33" s="16">
        <v>81.55874999999999</v>
      </c>
      <c r="G33" s="15">
        <v>9907.05</v>
      </c>
      <c r="H33" s="16">
        <v>-0.9914202512352315</v>
      </c>
      <c r="I33" s="17">
        <v>85</v>
      </c>
    </row>
    <row r="34" spans="1:9" ht="12.75">
      <c r="A34" s="8" t="s">
        <v>86</v>
      </c>
      <c r="B34" s="29" t="s">
        <v>87</v>
      </c>
      <c r="C34" s="15">
        <v>15093.266500000002</v>
      </c>
      <c r="D34" s="16">
        <v>0.08790234373718891</v>
      </c>
      <c r="E34" s="15">
        <v>16420</v>
      </c>
      <c r="F34" s="16">
        <v>0.02792108708891579</v>
      </c>
      <c r="G34" s="15">
        <v>16878.464249999997</v>
      </c>
      <c r="H34" s="16">
        <v>0.37826520561549337</v>
      </c>
      <c r="I34" s="17">
        <v>23263</v>
      </c>
    </row>
    <row r="35" spans="1:9" ht="12.75">
      <c r="A35" s="51" t="s">
        <v>88</v>
      </c>
      <c r="B35" s="52" t="s">
        <v>89</v>
      </c>
      <c r="C35" s="24">
        <v>44581.63325</v>
      </c>
      <c r="D35" s="54">
        <v>-0.059242631044702676</v>
      </c>
      <c r="E35" s="24">
        <v>41940.5</v>
      </c>
      <c r="F35" s="54">
        <v>0.14894608647965565</v>
      </c>
      <c r="G35" s="24">
        <v>48187.37334</v>
      </c>
      <c r="H35" s="54">
        <v>-0.039748448758257185</v>
      </c>
      <c r="I35" s="26">
        <v>46272</v>
      </c>
    </row>
    <row r="36" spans="1:9" ht="12.75">
      <c r="A36" s="8" t="s">
        <v>90</v>
      </c>
      <c r="B36" s="29" t="s">
        <v>91</v>
      </c>
      <c r="C36" s="15">
        <v>0</v>
      </c>
      <c r="D36" s="16" t="s">
        <v>48</v>
      </c>
      <c r="E36" s="15">
        <v>0</v>
      </c>
      <c r="F36" s="16" t="s">
        <v>48</v>
      </c>
      <c r="G36" s="15">
        <v>0</v>
      </c>
      <c r="H36" s="16" t="s">
        <v>48</v>
      </c>
      <c r="I36" s="17">
        <v>0</v>
      </c>
    </row>
    <row r="37" spans="1:9" ht="12.75">
      <c r="A37" s="8" t="s">
        <v>92</v>
      </c>
      <c r="B37" s="29" t="s">
        <v>93</v>
      </c>
      <c r="C37" s="15">
        <v>14745.8688</v>
      </c>
      <c r="D37" s="16">
        <v>-0.12287297714190976</v>
      </c>
      <c r="E37" s="15">
        <v>12934</v>
      </c>
      <c r="F37" s="16">
        <v>0.010483950054120837</v>
      </c>
      <c r="G37" s="15">
        <v>13069.599409999999</v>
      </c>
      <c r="H37" s="16">
        <v>0.1602497922313903</v>
      </c>
      <c r="I37" s="17">
        <v>15164</v>
      </c>
    </row>
    <row r="38" spans="1:9" ht="12.75">
      <c r="A38" s="51" t="s">
        <v>94</v>
      </c>
      <c r="B38" s="52" t="s">
        <v>95</v>
      </c>
      <c r="C38" s="24">
        <v>14745.8688</v>
      </c>
      <c r="D38" s="54">
        <v>-0.12287297714190976</v>
      </c>
      <c r="E38" s="24">
        <v>12934</v>
      </c>
      <c r="F38" s="54">
        <v>0.010483950054120837</v>
      </c>
      <c r="G38" s="24">
        <v>13069.599409999999</v>
      </c>
      <c r="H38" s="54">
        <v>0.1602497922313903</v>
      </c>
      <c r="I38" s="26">
        <v>15164</v>
      </c>
    </row>
    <row r="39" spans="1:9" ht="12.75">
      <c r="A39" s="36" t="s">
        <v>96</v>
      </c>
      <c r="B39" s="37" t="s">
        <v>3</v>
      </c>
      <c r="C39" s="38">
        <v>29835.76445</v>
      </c>
      <c r="D39" s="39">
        <v>-0.027794308786346474</v>
      </c>
      <c r="E39" s="38">
        <v>29006.5</v>
      </c>
      <c r="F39" s="39">
        <v>0.21068636098805427</v>
      </c>
      <c r="G39" s="38">
        <v>35117.773929999996</v>
      </c>
      <c r="H39" s="39">
        <v>-0.11418075467974277</v>
      </c>
      <c r="I39" s="40">
        <v>31108</v>
      </c>
    </row>
    <row r="40" spans="1:9" ht="12.75">
      <c r="A40" s="131" t="s">
        <v>0</v>
      </c>
      <c r="B40" s="29" t="s">
        <v>97</v>
      </c>
      <c r="C40" s="15">
        <v>2052.378730000113</v>
      </c>
      <c r="D40" s="16">
        <v>-10.847354050486976</v>
      </c>
      <c r="E40" s="15">
        <v>-20210.49999999993</v>
      </c>
      <c r="F40" s="16">
        <v>-0.2797894544914687</v>
      </c>
      <c r="G40" s="15">
        <v>-14555.815230000122</v>
      </c>
      <c r="H40" s="16">
        <v>-0.5643802906393517</v>
      </c>
      <c r="I40" s="17">
        <v>-6340.799999999952</v>
      </c>
    </row>
    <row r="41" spans="1:9" ht="12.75">
      <c r="A41" s="131" t="s">
        <v>0</v>
      </c>
      <c r="B41" s="29" t="s">
        <v>98</v>
      </c>
      <c r="C41" s="15">
        <v>-27783.385719999886</v>
      </c>
      <c r="D41" s="16">
        <v>0.7714543683051214</v>
      </c>
      <c r="E41" s="15">
        <v>-49216.99999999993</v>
      </c>
      <c r="F41" s="16">
        <v>0.009277061990779467</v>
      </c>
      <c r="G41" s="15">
        <v>-49673.58916000012</v>
      </c>
      <c r="H41" s="16">
        <v>-0.24610239297635117</v>
      </c>
      <c r="I41" s="17">
        <v>-37448.79999999995</v>
      </c>
    </row>
    <row r="42" spans="1:9" ht="12.75">
      <c r="A42" s="141" t="s">
        <v>0</v>
      </c>
      <c r="B42" s="31" t="s">
        <v>99</v>
      </c>
      <c r="C42" s="20">
        <v>649956.4733299998</v>
      </c>
      <c r="D42" s="129">
        <v>-0.006152370957262111</v>
      </c>
      <c r="E42" s="20">
        <v>645957.6999999998</v>
      </c>
      <c r="F42" s="129">
        <v>0.019420115156147506</v>
      </c>
      <c r="G42" s="20">
        <v>658502.27292</v>
      </c>
      <c r="H42" s="129">
        <v>0.005519991698557765</v>
      </c>
      <c r="I42" s="21">
        <v>662137.1999999998</v>
      </c>
    </row>
    <row r="43" spans="1:9" ht="12.75">
      <c r="A43" s="141">
        <v>0</v>
      </c>
      <c r="B43" s="31" t="s">
        <v>5</v>
      </c>
      <c r="C43" s="66">
        <v>0.06878921213631291</v>
      </c>
      <c r="D43" s="142">
        <v>0</v>
      </c>
      <c r="E43" s="66" t="s">
        <v>100</v>
      </c>
      <c r="F43" s="234">
        <v>0</v>
      </c>
      <c r="G43" s="66" t="s">
        <v>100</v>
      </c>
      <c r="H43" s="234">
        <v>0</v>
      </c>
      <c r="I43" s="235" t="s">
        <v>100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2" max="2" width="37.8515625" style="0" customWidth="1"/>
    <col min="4" max="4" width="9.00390625" style="0" customWidth="1"/>
    <col min="6" max="6" width="9.28125" style="0" customWidth="1"/>
    <col min="8" max="8" width="8.8515625" style="0" customWidth="1"/>
  </cols>
  <sheetData>
    <row r="1" spans="1:9" ht="12.75">
      <c r="A1" s="5" t="s">
        <v>20</v>
      </c>
      <c r="B1" s="6" t="s">
        <v>165</v>
      </c>
      <c r="C1" s="57" t="s">
        <v>22</v>
      </c>
      <c r="D1" s="7" t="s">
        <v>23</v>
      </c>
      <c r="E1" s="57" t="s">
        <v>105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 t="s">
        <v>102</v>
      </c>
      <c r="F3" s="134">
        <v>0</v>
      </c>
      <c r="G3" s="135">
        <v>0</v>
      </c>
      <c r="H3" s="134">
        <v>0</v>
      </c>
      <c r="I3" s="115">
        <v>0</v>
      </c>
    </row>
    <row r="4" spans="1:9" ht="12.75">
      <c r="A4" s="5" t="s">
        <v>28</v>
      </c>
      <c r="B4" s="9" t="s">
        <v>29</v>
      </c>
      <c r="C4" s="10">
        <v>74752</v>
      </c>
      <c r="D4" s="11">
        <v>0.03372618792808227</v>
      </c>
      <c r="E4" s="10">
        <v>77273.1</v>
      </c>
      <c r="F4" s="11">
        <v>0.006633615061386061</v>
      </c>
      <c r="G4" s="10">
        <v>77785.7</v>
      </c>
      <c r="H4" s="11"/>
      <c r="I4" s="12"/>
    </row>
    <row r="5" spans="1:9" ht="12.75">
      <c r="A5" s="13" t="s">
        <v>30</v>
      </c>
      <c r="B5" s="14" t="s">
        <v>31</v>
      </c>
      <c r="C5" s="15">
        <v>36336</v>
      </c>
      <c r="D5" s="16">
        <v>0.06457782915015411</v>
      </c>
      <c r="E5" s="15">
        <v>38682.5</v>
      </c>
      <c r="F5" s="16">
        <v>-0.018313190719317557</v>
      </c>
      <c r="G5" s="15">
        <v>37974.1</v>
      </c>
      <c r="H5" s="16"/>
      <c r="I5" s="17"/>
    </row>
    <row r="6" spans="1:9" ht="12.75">
      <c r="A6" s="13" t="s">
        <v>32</v>
      </c>
      <c r="B6" s="14" t="s">
        <v>33</v>
      </c>
      <c r="C6" s="15">
        <v>5662</v>
      </c>
      <c r="D6" s="16">
        <v>-0.14318262098198514</v>
      </c>
      <c r="E6" s="15">
        <v>4851.3</v>
      </c>
      <c r="F6" s="16">
        <v>0.1788386618019911</v>
      </c>
      <c r="G6" s="15">
        <v>5718.9</v>
      </c>
      <c r="H6" s="16"/>
      <c r="I6" s="17"/>
    </row>
    <row r="7" spans="1:9" ht="12.75">
      <c r="A7" s="13" t="s">
        <v>34</v>
      </c>
      <c r="B7" s="14" t="s">
        <v>35</v>
      </c>
      <c r="C7" s="15">
        <v>612</v>
      </c>
      <c r="D7" s="16">
        <v>0.22712418300653595</v>
      </c>
      <c r="E7" s="15">
        <v>751</v>
      </c>
      <c r="F7" s="16">
        <v>-0.09920106524633822</v>
      </c>
      <c r="G7" s="15">
        <v>676.5</v>
      </c>
      <c r="H7" s="16"/>
      <c r="I7" s="17"/>
    </row>
    <row r="8" spans="1:9" ht="12.75">
      <c r="A8" s="13" t="s">
        <v>36</v>
      </c>
      <c r="B8" s="14" t="s">
        <v>37</v>
      </c>
      <c r="C8" s="15">
        <v>266</v>
      </c>
      <c r="D8" s="16">
        <v>-0.2161654135338346</v>
      </c>
      <c r="E8" s="15">
        <v>208.5</v>
      </c>
      <c r="F8" s="16">
        <v>3.883932853717026</v>
      </c>
      <c r="G8" s="15">
        <v>1018.3</v>
      </c>
      <c r="H8" s="16"/>
      <c r="I8" s="17"/>
    </row>
    <row r="9" spans="1:9" ht="12.75">
      <c r="A9" s="13" t="s">
        <v>38</v>
      </c>
      <c r="B9" s="14" t="s">
        <v>39</v>
      </c>
      <c r="C9" s="15">
        <v>31356</v>
      </c>
      <c r="D9" s="16">
        <v>-0.011500191350937574</v>
      </c>
      <c r="E9" s="15">
        <v>30995.4</v>
      </c>
      <c r="F9" s="16">
        <v>-0.02033850184220889</v>
      </c>
      <c r="G9" s="15">
        <v>30365</v>
      </c>
      <c r="H9" s="16"/>
      <c r="I9" s="17"/>
    </row>
    <row r="10" spans="1:9" ht="12.75">
      <c r="A10" s="13" t="s">
        <v>40</v>
      </c>
      <c r="B10" s="14" t="s">
        <v>41</v>
      </c>
      <c r="C10" s="15">
        <v>263561</v>
      </c>
      <c r="D10" s="16">
        <v>0.016039171197559533</v>
      </c>
      <c r="E10" s="15">
        <v>267788.3</v>
      </c>
      <c r="F10" s="16">
        <v>0.002387333576560247</v>
      </c>
      <c r="G10" s="15">
        <v>268427.6</v>
      </c>
      <c r="H10" s="16"/>
      <c r="I10" s="17"/>
    </row>
    <row r="11" spans="1:9" ht="12.75">
      <c r="A11" s="13" t="s">
        <v>42</v>
      </c>
      <c r="B11" s="14" t="s">
        <v>43</v>
      </c>
      <c r="C11" s="15">
        <v>44497</v>
      </c>
      <c r="D11" s="43">
        <v>-0.4822347573993752</v>
      </c>
      <c r="E11" s="15">
        <v>23039</v>
      </c>
      <c r="F11" s="16">
        <v>0.017839315942532227</v>
      </c>
      <c r="G11" s="15">
        <v>23450</v>
      </c>
      <c r="H11" s="16"/>
      <c r="I11" s="17"/>
    </row>
    <row r="12" spans="1:9" ht="12.75">
      <c r="A12" s="13" t="s">
        <v>44</v>
      </c>
      <c r="B12" s="14" t="s">
        <v>45</v>
      </c>
      <c r="C12" s="15">
        <v>5669</v>
      </c>
      <c r="D12" s="43">
        <v>-0.020991356500264596</v>
      </c>
      <c r="E12" s="15">
        <v>5550</v>
      </c>
      <c r="F12" s="16">
        <v>-0.039423423423423455</v>
      </c>
      <c r="G12" s="15">
        <v>5331.2</v>
      </c>
      <c r="H12" s="16"/>
      <c r="I12" s="17"/>
    </row>
    <row r="13" spans="1:9" ht="12.75">
      <c r="A13" s="13" t="s">
        <v>46</v>
      </c>
      <c r="B13" s="14" t="s">
        <v>47</v>
      </c>
      <c r="C13" s="15">
        <v>35240</v>
      </c>
      <c r="D13" s="43">
        <v>-0.09534619750283768</v>
      </c>
      <c r="E13" s="15">
        <v>31880</v>
      </c>
      <c r="F13" s="43">
        <v>0.026571518193224546</v>
      </c>
      <c r="G13" s="15">
        <v>32727.1</v>
      </c>
      <c r="H13" s="43"/>
      <c r="I13" s="17"/>
    </row>
    <row r="14" spans="1:9" ht="12.75">
      <c r="A14" s="13" t="s">
        <v>49</v>
      </c>
      <c r="B14" s="14" t="s">
        <v>50</v>
      </c>
      <c r="C14" s="15">
        <v>66</v>
      </c>
      <c r="D14" s="43">
        <v>0.5151515151515151</v>
      </c>
      <c r="E14" s="15">
        <v>100</v>
      </c>
      <c r="F14" s="16">
        <v>-1</v>
      </c>
      <c r="G14" s="15">
        <v>0</v>
      </c>
      <c r="H14" s="16"/>
      <c r="I14" s="17"/>
    </row>
    <row r="15" spans="1:9" ht="12.75">
      <c r="A15" s="13" t="s">
        <v>51</v>
      </c>
      <c r="B15" s="14" t="s">
        <v>52</v>
      </c>
      <c r="C15" s="15">
        <v>0</v>
      </c>
      <c r="D15" s="43" t="s">
        <v>48</v>
      </c>
      <c r="E15" s="15">
        <v>0</v>
      </c>
      <c r="F15" s="43" t="s">
        <v>48</v>
      </c>
      <c r="G15" s="15">
        <v>0</v>
      </c>
      <c r="H15" s="16"/>
      <c r="I15" s="17"/>
    </row>
    <row r="16" spans="1:9" ht="12.75">
      <c r="A16" s="13" t="s">
        <v>53</v>
      </c>
      <c r="B16" s="14" t="s">
        <v>54</v>
      </c>
      <c r="C16" s="15">
        <v>35803</v>
      </c>
      <c r="D16" s="43">
        <v>0.02561237885093428</v>
      </c>
      <c r="E16" s="15">
        <v>36720</v>
      </c>
      <c r="F16" s="43">
        <v>-0.014861111111111032</v>
      </c>
      <c r="G16" s="15">
        <v>36174.3</v>
      </c>
      <c r="H16" s="43"/>
      <c r="I16" s="17"/>
    </row>
    <row r="17" spans="1:9" ht="12.75">
      <c r="A17" s="13" t="s">
        <v>55</v>
      </c>
      <c r="B17" s="14" t="s">
        <v>56</v>
      </c>
      <c r="C17" s="15">
        <v>320</v>
      </c>
      <c r="D17" s="16">
        <v>0.02375000000000007</v>
      </c>
      <c r="E17" s="15">
        <v>327.6</v>
      </c>
      <c r="F17" s="16">
        <v>161.83730158730157</v>
      </c>
      <c r="G17" s="15">
        <v>53345.5</v>
      </c>
      <c r="H17" s="16"/>
      <c r="I17" s="17"/>
    </row>
    <row r="18" spans="1:9" ht="12.75">
      <c r="A18" s="13">
        <v>389</v>
      </c>
      <c r="B18" s="14" t="s">
        <v>57</v>
      </c>
      <c r="C18" s="15">
        <v>0</v>
      </c>
      <c r="D18" s="43" t="s">
        <v>48</v>
      </c>
      <c r="E18" s="15">
        <v>0</v>
      </c>
      <c r="F18" s="43" t="s">
        <v>48</v>
      </c>
      <c r="G18" s="15">
        <v>0</v>
      </c>
      <c r="H18" s="43"/>
      <c r="I18" s="17"/>
    </row>
    <row r="19" spans="1:9" ht="12.75">
      <c r="A19" s="18" t="s">
        <v>58</v>
      </c>
      <c r="B19" s="19" t="s">
        <v>59</v>
      </c>
      <c r="C19" s="20">
        <v>42975</v>
      </c>
      <c r="D19" s="43">
        <v>-0.04068179173938343</v>
      </c>
      <c r="E19" s="20">
        <v>41226.7</v>
      </c>
      <c r="F19" s="43">
        <v>-0.019407325834956437</v>
      </c>
      <c r="G19" s="20">
        <v>40426.6</v>
      </c>
      <c r="H19" s="43"/>
      <c r="I19" s="21"/>
    </row>
    <row r="20" spans="1:9" ht="12.75">
      <c r="A20" s="22" t="s">
        <v>60</v>
      </c>
      <c r="B20" s="23" t="s">
        <v>61</v>
      </c>
      <c r="C20" s="24">
        <v>450178</v>
      </c>
      <c r="D20" s="25">
        <v>0.01571622780322445</v>
      </c>
      <c r="E20" s="24">
        <v>457253.1</v>
      </c>
      <c r="F20" s="25">
        <v>0.11539823349475369</v>
      </c>
      <c r="G20" s="24">
        <v>510019.29999999993</v>
      </c>
      <c r="H20" s="25"/>
      <c r="I20" s="26"/>
    </row>
    <row r="21" spans="1:9" ht="12.75">
      <c r="A21" s="27" t="s">
        <v>62</v>
      </c>
      <c r="B21" s="28" t="s">
        <v>63</v>
      </c>
      <c r="C21" s="10">
        <v>127321</v>
      </c>
      <c r="D21" s="16">
        <v>0.02104130504787113</v>
      </c>
      <c r="E21" s="10">
        <v>130000</v>
      </c>
      <c r="F21" s="16">
        <v>-0.03706461538461534</v>
      </c>
      <c r="G21" s="10">
        <v>125181.6</v>
      </c>
      <c r="H21" s="16"/>
      <c r="I21" s="12"/>
    </row>
    <row r="22" spans="1:9" ht="12.75">
      <c r="A22" s="8" t="s">
        <v>64</v>
      </c>
      <c r="B22" s="29" t="s">
        <v>65</v>
      </c>
      <c r="C22" s="15">
        <v>22116</v>
      </c>
      <c r="D22" s="16">
        <v>0.05670103092783505</v>
      </c>
      <c r="E22" s="15">
        <v>23370</v>
      </c>
      <c r="F22" s="16">
        <v>-0.032635857937526776</v>
      </c>
      <c r="G22" s="15">
        <v>22607.3</v>
      </c>
      <c r="H22" s="16"/>
      <c r="I22" s="17"/>
    </row>
    <row r="23" spans="1:9" ht="12.75">
      <c r="A23" s="8" t="s">
        <v>66</v>
      </c>
      <c r="B23" s="29" t="s">
        <v>67</v>
      </c>
      <c r="C23" s="15">
        <v>9180</v>
      </c>
      <c r="D23" s="16">
        <v>0.8755119825708062</v>
      </c>
      <c r="E23" s="15">
        <v>17217.2</v>
      </c>
      <c r="F23" s="16">
        <v>2.826063471412309</v>
      </c>
      <c r="G23" s="15">
        <v>65874.1</v>
      </c>
      <c r="H23" s="16"/>
      <c r="I23" s="17"/>
    </row>
    <row r="24" spans="1:9" ht="12.75">
      <c r="A24" s="8" t="s">
        <v>68</v>
      </c>
      <c r="B24" s="29" t="s">
        <v>69</v>
      </c>
      <c r="C24" s="15">
        <v>36235</v>
      </c>
      <c r="D24" s="16">
        <v>-0.3223237201600663</v>
      </c>
      <c r="E24" s="15">
        <v>24555.6</v>
      </c>
      <c r="F24" s="16">
        <v>0.26587825180406927</v>
      </c>
      <c r="G24" s="15">
        <v>31084.4</v>
      </c>
      <c r="H24" s="16"/>
      <c r="I24" s="17"/>
    </row>
    <row r="25" spans="1:9" ht="12.75">
      <c r="A25" s="8" t="s">
        <v>70</v>
      </c>
      <c r="B25" s="29" t="s">
        <v>71</v>
      </c>
      <c r="C25" s="15">
        <v>205217</v>
      </c>
      <c r="D25" s="16">
        <v>-0.013654326883250441</v>
      </c>
      <c r="E25" s="15">
        <v>202414.9</v>
      </c>
      <c r="F25" s="16">
        <v>-0.018187890318350927</v>
      </c>
      <c r="G25" s="15">
        <v>198733.40000000002</v>
      </c>
      <c r="H25" s="16"/>
      <c r="I25" s="17"/>
    </row>
    <row r="26" spans="1:9" ht="12.75">
      <c r="A26" s="59" t="s">
        <v>72</v>
      </c>
      <c r="B26" s="29" t="s">
        <v>73</v>
      </c>
      <c r="C26" s="15">
        <v>1787</v>
      </c>
      <c r="D26" s="16">
        <v>1.950363738108562</v>
      </c>
      <c r="E26" s="15">
        <v>5272.3</v>
      </c>
      <c r="F26" s="16">
        <v>-0.20837205773571313</v>
      </c>
      <c r="G26" s="15">
        <v>4173.7</v>
      </c>
      <c r="H26" s="16"/>
      <c r="I26" s="17"/>
    </row>
    <row r="27" spans="1:9" ht="12.75">
      <c r="A27" s="195">
        <v>489</v>
      </c>
      <c r="B27" s="29" t="s">
        <v>74</v>
      </c>
      <c r="C27" s="15">
        <v>0</v>
      </c>
      <c r="D27" s="43" t="s">
        <v>48</v>
      </c>
      <c r="E27" s="15">
        <v>0</v>
      </c>
      <c r="F27" s="43" t="s">
        <v>48</v>
      </c>
      <c r="G27" s="15">
        <v>0</v>
      </c>
      <c r="H27" s="16"/>
      <c r="I27" s="17"/>
    </row>
    <row r="28" spans="1:9" ht="12.75">
      <c r="A28" s="30" t="s">
        <v>75</v>
      </c>
      <c r="B28" s="31" t="s">
        <v>76</v>
      </c>
      <c r="C28" s="20">
        <v>42975</v>
      </c>
      <c r="D28" s="16">
        <v>-0.04068179173938343</v>
      </c>
      <c r="E28" s="20">
        <v>41226.7</v>
      </c>
      <c r="F28" s="16">
        <v>-0.019407325834956437</v>
      </c>
      <c r="G28" s="20">
        <v>40426.6</v>
      </c>
      <c r="H28" s="16"/>
      <c r="I28" s="21"/>
    </row>
    <row r="29" spans="1:9" ht="12.75">
      <c r="A29" s="51" t="s">
        <v>77</v>
      </c>
      <c r="B29" s="52" t="s">
        <v>78</v>
      </c>
      <c r="C29" s="24">
        <v>444831</v>
      </c>
      <c r="D29" s="53">
        <v>-0.0017406610600430015</v>
      </c>
      <c r="E29" s="24">
        <v>444056.7</v>
      </c>
      <c r="F29" s="53">
        <v>0.09914139343016336</v>
      </c>
      <c r="G29" s="24">
        <v>488081.10000000003</v>
      </c>
      <c r="H29" s="54"/>
      <c r="I29" s="26"/>
    </row>
    <row r="30" spans="1:9" ht="12.75">
      <c r="A30" s="50" t="s">
        <v>79</v>
      </c>
      <c r="B30" s="32" t="s">
        <v>80</v>
      </c>
      <c r="C30" s="33">
        <v>-5347</v>
      </c>
      <c r="D30" s="136">
        <v>0</v>
      </c>
      <c r="E30" s="33">
        <v>-13196.399999999965</v>
      </c>
      <c r="F30" s="136">
        <v>0</v>
      </c>
      <c r="G30" s="34">
        <v>-21938.199999999895</v>
      </c>
      <c r="H30" s="137"/>
      <c r="I30" s="35"/>
    </row>
    <row r="31" spans="1:9" ht="12.75">
      <c r="A31" s="140">
        <v>0</v>
      </c>
      <c r="B31" s="28" t="s">
        <v>81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/>
      <c r="I31" s="139"/>
    </row>
    <row r="32" spans="1:9" ht="12.75">
      <c r="A32" s="59" t="s">
        <v>82</v>
      </c>
      <c r="B32" s="29" t="s">
        <v>83</v>
      </c>
      <c r="C32" s="15">
        <v>58884</v>
      </c>
      <c r="D32" s="16">
        <v>-0.2233883567692412</v>
      </c>
      <c r="E32" s="15">
        <v>45730</v>
      </c>
      <c r="F32" s="16">
        <v>0.01795101683796198</v>
      </c>
      <c r="G32" s="15">
        <v>46550.9</v>
      </c>
      <c r="H32" s="16"/>
      <c r="I32" s="17"/>
    </row>
    <row r="33" spans="1:9" ht="12.75">
      <c r="A33" s="59" t="s">
        <v>84</v>
      </c>
      <c r="B33" s="29" t="s">
        <v>85</v>
      </c>
      <c r="C33" s="15">
        <v>2312</v>
      </c>
      <c r="D33" s="16">
        <v>-0.9394463667820069</v>
      </c>
      <c r="E33" s="15">
        <v>140</v>
      </c>
      <c r="F33" s="16">
        <v>597.1821428571428</v>
      </c>
      <c r="G33" s="15">
        <v>83745.5</v>
      </c>
      <c r="H33" s="16"/>
      <c r="I33" s="17"/>
    </row>
    <row r="34" spans="1:9" ht="12.75">
      <c r="A34" s="8" t="s">
        <v>86</v>
      </c>
      <c r="B34" s="29" t="s">
        <v>87</v>
      </c>
      <c r="C34" s="15">
        <v>5713</v>
      </c>
      <c r="D34" s="16">
        <v>0.044985121652371785</v>
      </c>
      <c r="E34" s="15">
        <v>5970</v>
      </c>
      <c r="F34" s="16">
        <v>0.12227805695142378</v>
      </c>
      <c r="G34" s="15">
        <v>6700</v>
      </c>
      <c r="H34" s="16"/>
      <c r="I34" s="17"/>
    </row>
    <row r="35" spans="1:9" ht="12.75">
      <c r="A35" s="51" t="s">
        <v>88</v>
      </c>
      <c r="B35" s="52" t="s">
        <v>89</v>
      </c>
      <c r="C35" s="24">
        <v>66909</v>
      </c>
      <c r="D35" s="54">
        <v>-0.22521633860915571</v>
      </c>
      <c r="E35" s="24">
        <v>51840</v>
      </c>
      <c r="F35" s="54">
        <v>1.6426774691358024</v>
      </c>
      <c r="G35" s="24">
        <v>136996.4</v>
      </c>
      <c r="H35" s="54"/>
      <c r="I35" s="26"/>
    </row>
    <row r="36" spans="1:9" ht="12.75">
      <c r="A36" s="8" t="s">
        <v>90</v>
      </c>
      <c r="B36" s="29" t="s">
        <v>91</v>
      </c>
      <c r="C36" s="15">
        <v>375</v>
      </c>
      <c r="D36" s="16">
        <v>0.5093333333333333</v>
      </c>
      <c r="E36" s="15">
        <v>566</v>
      </c>
      <c r="F36" s="16">
        <v>15.75494699646643</v>
      </c>
      <c r="G36" s="15">
        <v>9483.3</v>
      </c>
      <c r="H36" s="16"/>
      <c r="I36" s="17"/>
    </row>
    <row r="37" spans="1:9" ht="12.75">
      <c r="A37" s="8" t="s">
        <v>92</v>
      </c>
      <c r="B37" s="29" t="s">
        <v>93</v>
      </c>
      <c r="C37" s="15">
        <v>13069</v>
      </c>
      <c r="D37" s="16">
        <v>-0.35274313260387175</v>
      </c>
      <c r="E37" s="15">
        <v>8459</v>
      </c>
      <c r="F37" s="16">
        <v>0.3300508334318477</v>
      </c>
      <c r="G37" s="15">
        <v>11250.9</v>
      </c>
      <c r="H37" s="16"/>
      <c r="I37" s="17"/>
    </row>
    <row r="38" spans="1:9" ht="12.75">
      <c r="A38" s="51" t="s">
        <v>94</v>
      </c>
      <c r="B38" s="52" t="s">
        <v>95</v>
      </c>
      <c r="C38" s="24">
        <v>13444</v>
      </c>
      <c r="D38" s="54">
        <v>-0.3286968164236834</v>
      </c>
      <c r="E38" s="24">
        <v>9025</v>
      </c>
      <c r="F38" s="54">
        <v>1.2974182825484761</v>
      </c>
      <c r="G38" s="24">
        <v>20734.199999999997</v>
      </c>
      <c r="H38" s="54"/>
      <c r="I38" s="26"/>
    </row>
    <row r="39" spans="1:9" ht="12.75">
      <c r="A39" s="36" t="s">
        <v>96</v>
      </c>
      <c r="B39" s="37" t="s">
        <v>3</v>
      </c>
      <c r="C39" s="38">
        <v>53465</v>
      </c>
      <c r="D39" s="39">
        <v>-0.19919573552791545</v>
      </c>
      <c r="E39" s="38">
        <v>42815</v>
      </c>
      <c r="F39" s="39">
        <v>1.7154548639495504</v>
      </c>
      <c r="G39" s="38">
        <v>116262.2</v>
      </c>
      <c r="H39" s="39"/>
      <c r="I39" s="40"/>
    </row>
    <row r="40" spans="1:9" ht="12.75">
      <c r="A40" s="131" t="s">
        <v>0</v>
      </c>
      <c r="B40" s="29" t="s">
        <v>97</v>
      </c>
      <c r="C40" s="15">
        <v>26009</v>
      </c>
      <c r="D40" s="16">
        <v>-0.3156599638586629</v>
      </c>
      <c r="E40" s="15">
        <v>17799.000000000036</v>
      </c>
      <c r="F40" s="16">
        <v>-0.5265576717793086</v>
      </c>
      <c r="G40" s="15">
        <v>8426.800000000105</v>
      </c>
      <c r="H40" s="16"/>
      <c r="I40" s="17"/>
    </row>
    <row r="41" spans="1:9" ht="12.75">
      <c r="A41" s="131" t="s">
        <v>0</v>
      </c>
      <c r="B41" s="29" t="s">
        <v>98</v>
      </c>
      <c r="C41" s="15">
        <v>-27456</v>
      </c>
      <c r="D41" s="16">
        <v>-0.08886946386946519</v>
      </c>
      <c r="E41" s="15">
        <v>-25015.999999999964</v>
      </c>
      <c r="F41" s="16">
        <v>3.310657179405183</v>
      </c>
      <c r="G41" s="15">
        <v>-107835.39999999989</v>
      </c>
      <c r="H41" s="16"/>
      <c r="I41" s="17"/>
    </row>
    <row r="42" spans="1:9" ht="12.75">
      <c r="A42" s="141" t="s">
        <v>0</v>
      </c>
      <c r="B42" s="31" t="s">
        <v>99</v>
      </c>
      <c r="C42" s="20">
        <v>442170</v>
      </c>
      <c r="D42" s="129">
        <v>-0.01319650813035718</v>
      </c>
      <c r="E42" s="20">
        <v>436334.89999999997</v>
      </c>
      <c r="F42" s="129">
        <v>0.19600861631742034</v>
      </c>
      <c r="G42" s="20">
        <v>521860.29999999993</v>
      </c>
      <c r="H42" s="129"/>
      <c r="I42" s="21"/>
    </row>
    <row r="43" spans="1:9" ht="12.75">
      <c r="A43" s="141">
        <v>0</v>
      </c>
      <c r="B43" s="31" t="s">
        <v>5</v>
      </c>
      <c r="C43" s="66">
        <v>0.48646778266155427</v>
      </c>
      <c r="D43" s="142">
        <v>0</v>
      </c>
      <c r="E43" s="41">
        <v>0.4157187901436421</v>
      </c>
      <c r="F43" s="142">
        <v>0</v>
      </c>
      <c r="G43" s="41">
        <v>0.07248099554283426</v>
      </c>
      <c r="H43" s="142"/>
      <c r="I43" s="4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86"/>
  <sheetViews>
    <sheetView zoomScale="115" zoomScaleNormal="115" zoomScalePageLayoutView="0" workbookViewId="0" topLeftCell="A1">
      <selection activeCell="A1" sqref="A1:G186"/>
    </sheetView>
  </sheetViews>
  <sheetFormatPr defaultColWidth="11.421875" defaultRowHeight="12.75"/>
  <cols>
    <col min="1" max="1" width="16.7109375" style="252" customWidth="1"/>
    <col min="2" max="2" width="3.7109375" style="252" customWidth="1"/>
    <col min="3" max="3" width="39.7109375" style="252" customWidth="1"/>
    <col min="4" max="4" width="12.7109375" style="252" customWidth="1"/>
    <col min="5" max="5" width="11.421875" style="252" customWidth="1"/>
    <col min="6" max="6" width="12.7109375" style="252" customWidth="1"/>
    <col min="7" max="16384" width="11.421875" style="252" customWidth="1"/>
  </cols>
  <sheetData>
    <row r="1" spans="1:55" s="243" customFormat="1" ht="18" customHeight="1">
      <c r="A1" s="237" t="s">
        <v>220</v>
      </c>
      <c r="B1" s="532" t="s">
        <v>679</v>
      </c>
      <c r="C1" s="532" t="s">
        <v>680</v>
      </c>
      <c r="D1" s="241" t="s">
        <v>22</v>
      </c>
      <c r="E1" s="240" t="s">
        <v>105</v>
      </c>
      <c r="F1" s="241" t="s">
        <v>22</v>
      </c>
      <c r="G1" s="240" t="s">
        <v>105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7" s="249" customFormat="1" ht="15" customHeight="1">
      <c r="A2" s="244"/>
      <c r="B2" s="245"/>
      <c r="C2" s="246" t="s">
        <v>222</v>
      </c>
      <c r="D2" s="248">
        <v>2011</v>
      </c>
      <c r="E2" s="247">
        <v>2012</v>
      </c>
      <c r="F2" s="248">
        <v>2012</v>
      </c>
      <c r="G2" s="247">
        <v>2013</v>
      </c>
    </row>
    <row r="3" spans="1:7" ht="15" customHeight="1">
      <c r="A3" s="609" t="s">
        <v>223</v>
      </c>
      <c r="B3" s="610"/>
      <c r="C3" s="610"/>
      <c r="D3" s="250"/>
      <c r="F3" s="250"/>
      <c r="G3" s="253" t="s">
        <v>103</v>
      </c>
    </row>
    <row r="4" spans="1:7" s="260" customFormat="1" ht="12.75" customHeight="1">
      <c r="A4" s="479">
        <v>30</v>
      </c>
      <c r="B4" s="480"/>
      <c r="C4" s="256" t="s">
        <v>29</v>
      </c>
      <c r="D4" s="257"/>
      <c r="E4" s="257"/>
      <c r="F4" s="257"/>
      <c r="G4" s="259">
        <v>77524.1</v>
      </c>
    </row>
    <row r="5" spans="1:7" s="260" customFormat="1" ht="12.75" customHeight="1">
      <c r="A5" s="261">
        <v>31</v>
      </c>
      <c r="B5" s="262"/>
      <c r="C5" s="263" t="s">
        <v>224</v>
      </c>
      <c r="D5" s="264"/>
      <c r="E5" s="264"/>
      <c r="F5" s="275"/>
      <c r="G5" s="267">
        <v>36921.2</v>
      </c>
    </row>
    <row r="6" spans="1:7" s="260" customFormat="1" ht="12.75" customHeight="1">
      <c r="A6" s="268" t="s">
        <v>32</v>
      </c>
      <c r="B6" s="269"/>
      <c r="C6" s="270" t="s">
        <v>225</v>
      </c>
      <c r="D6" s="271"/>
      <c r="E6" s="271"/>
      <c r="F6" s="271"/>
      <c r="G6" s="273">
        <v>4305</v>
      </c>
    </row>
    <row r="7" spans="1:7" s="260" customFormat="1" ht="12.75" customHeight="1">
      <c r="A7" s="268" t="s">
        <v>226</v>
      </c>
      <c r="B7" s="269"/>
      <c r="C7" s="270" t="s">
        <v>227</v>
      </c>
      <c r="D7" s="271"/>
      <c r="E7" s="271"/>
      <c r="F7" s="271"/>
      <c r="G7" s="273">
        <v>0</v>
      </c>
    </row>
    <row r="8" spans="1:7" s="260" customFormat="1" ht="12.75" customHeight="1">
      <c r="A8" s="274">
        <v>330</v>
      </c>
      <c r="B8" s="262"/>
      <c r="C8" s="263" t="s">
        <v>228</v>
      </c>
      <c r="D8" s="275"/>
      <c r="E8" s="275"/>
      <c r="F8" s="275"/>
      <c r="G8" s="276">
        <v>28967</v>
      </c>
    </row>
    <row r="9" spans="1:7" s="260" customFormat="1" ht="12.75" customHeight="1">
      <c r="A9" s="274">
        <v>332</v>
      </c>
      <c r="B9" s="262"/>
      <c r="C9" s="263" t="s">
        <v>229</v>
      </c>
      <c r="D9" s="275"/>
      <c r="E9" s="275"/>
      <c r="F9" s="275"/>
      <c r="G9" s="276">
        <v>97.1</v>
      </c>
    </row>
    <row r="10" spans="1:7" s="260" customFormat="1" ht="12.75" customHeight="1">
      <c r="A10" s="274">
        <v>339</v>
      </c>
      <c r="B10" s="262"/>
      <c r="C10" s="263" t="s">
        <v>230</v>
      </c>
      <c r="D10" s="275">
        <v>0</v>
      </c>
      <c r="E10" s="275">
        <v>0</v>
      </c>
      <c r="F10" s="275">
        <v>0</v>
      </c>
      <c r="G10" s="276">
        <v>0</v>
      </c>
    </row>
    <row r="11" spans="1:7" s="260" customFormat="1" ht="12.75" customHeight="1">
      <c r="A11" s="261">
        <v>350</v>
      </c>
      <c r="B11" s="262"/>
      <c r="C11" s="263" t="s">
        <v>231</v>
      </c>
      <c r="D11" s="275">
        <v>0</v>
      </c>
      <c r="E11" s="275">
        <v>0</v>
      </c>
      <c r="F11" s="275"/>
      <c r="G11" s="277">
        <v>471.1</v>
      </c>
    </row>
    <row r="12" spans="1:7" s="285" customFormat="1" ht="12.75">
      <c r="A12" s="278">
        <v>351</v>
      </c>
      <c r="B12" s="279"/>
      <c r="C12" s="280" t="s">
        <v>232</v>
      </c>
      <c r="D12" s="282"/>
      <c r="E12" s="282"/>
      <c r="F12" s="282"/>
      <c r="G12" s="482">
        <v>238.3</v>
      </c>
    </row>
    <row r="13" spans="1:7" s="260" customFormat="1" ht="12.75" customHeight="1">
      <c r="A13" s="261">
        <v>36</v>
      </c>
      <c r="B13" s="262"/>
      <c r="C13" s="263" t="s">
        <v>233</v>
      </c>
      <c r="D13" s="271"/>
      <c r="E13" s="323"/>
      <c r="F13" s="271"/>
      <c r="G13" s="276">
        <v>233423.1</v>
      </c>
    </row>
    <row r="14" spans="1:7" s="260" customFormat="1" ht="12.75" customHeight="1">
      <c r="A14" s="287" t="s">
        <v>234</v>
      </c>
      <c r="B14" s="262"/>
      <c r="C14" s="288" t="s">
        <v>235</v>
      </c>
      <c r="D14" s="271"/>
      <c r="E14" s="323"/>
      <c r="F14" s="271"/>
      <c r="G14" s="276">
        <v>18567.1</v>
      </c>
    </row>
    <row r="15" spans="1:7" s="260" customFormat="1" ht="12.75" customHeight="1">
      <c r="A15" s="287" t="s">
        <v>236</v>
      </c>
      <c r="B15" s="262"/>
      <c r="C15" s="288" t="s">
        <v>237</v>
      </c>
      <c r="D15" s="271"/>
      <c r="E15" s="323"/>
      <c r="F15" s="271"/>
      <c r="G15" s="276">
        <v>44252.4</v>
      </c>
    </row>
    <row r="16" spans="1:7" s="297" customFormat="1" ht="26.25" customHeight="1">
      <c r="A16" s="287" t="s">
        <v>238</v>
      </c>
      <c r="B16" s="483"/>
      <c r="C16" s="288" t="s">
        <v>239</v>
      </c>
      <c r="D16" s="293"/>
      <c r="E16" s="294"/>
      <c r="F16" s="293"/>
      <c r="G16" s="296">
        <v>870</v>
      </c>
    </row>
    <row r="17" spans="1:7" s="299" customFormat="1" ht="12.75">
      <c r="A17" s="261">
        <v>37</v>
      </c>
      <c r="B17" s="262"/>
      <c r="C17" s="263" t="s">
        <v>240</v>
      </c>
      <c r="D17" s="316"/>
      <c r="E17" s="264"/>
      <c r="F17" s="316"/>
      <c r="G17" s="298">
        <v>36366</v>
      </c>
    </row>
    <row r="18" spans="1:7" s="299" customFormat="1" ht="12.75">
      <c r="A18" s="322" t="s">
        <v>241</v>
      </c>
      <c r="B18" s="269"/>
      <c r="C18" s="270" t="s">
        <v>242</v>
      </c>
      <c r="D18" s="485"/>
      <c r="E18" s="323"/>
      <c r="F18" s="485"/>
      <c r="G18" s="298">
        <v>0</v>
      </c>
    </row>
    <row r="19" spans="1:7" s="299" customFormat="1" ht="12.75">
      <c r="A19" s="322" t="s">
        <v>243</v>
      </c>
      <c r="B19" s="269"/>
      <c r="C19" s="270" t="s">
        <v>244</v>
      </c>
      <c r="D19" s="485"/>
      <c r="E19" s="323"/>
      <c r="F19" s="485"/>
      <c r="G19" s="298">
        <v>400</v>
      </c>
    </row>
    <row r="20" spans="1:7" s="260" customFormat="1" ht="12.75" customHeight="1">
      <c r="A20" s="301">
        <v>39</v>
      </c>
      <c r="B20" s="302"/>
      <c r="C20" s="303" t="s">
        <v>245</v>
      </c>
      <c r="D20" s="306"/>
      <c r="E20" s="304"/>
      <c r="F20" s="306">
        <v>0</v>
      </c>
      <c r="G20" s="308">
        <v>36051.5</v>
      </c>
    </row>
    <row r="21" spans="1:7" ht="12.75" customHeight="1">
      <c r="A21" s="309"/>
      <c r="B21" s="309"/>
      <c r="C21" s="310" t="s">
        <v>246</v>
      </c>
      <c r="D21" s="311">
        <f>D4+D5+SUM(D8:D13)+D17</f>
        <v>0</v>
      </c>
      <c r="E21" s="311">
        <f>E4+E5+SUM(E8:E13)+E17</f>
        <v>0</v>
      </c>
      <c r="F21" s="311">
        <f>F4+F5+SUM(F8:F13)+F17</f>
        <v>0</v>
      </c>
      <c r="G21" s="311">
        <f>G4+G5+SUM(G8:G13)+G17</f>
        <v>414007.89999999997</v>
      </c>
    </row>
    <row r="22" spans="1:7" s="260" customFormat="1" ht="12.75" customHeight="1">
      <c r="A22" s="274" t="s">
        <v>247</v>
      </c>
      <c r="B22" s="262"/>
      <c r="C22" s="263" t="s">
        <v>248</v>
      </c>
      <c r="D22" s="275"/>
      <c r="E22" s="275"/>
      <c r="F22" s="275"/>
      <c r="G22" s="276">
        <v>134650</v>
      </c>
    </row>
    <row r="23" spans="1:7" s="260" customFormat="1" ht="12.75" customHeight="1">
      <c r="A23" s="274" t="s">
        <v>249</v>
      </c>
      <c r="B23" s="262"/>
      <c r="C23" s="263" t="s">
        <v>250</v>
      </c>
      <c r="D23" s="275"/>
      <c r="E23" s="275"/>
      <c r="F23" s="275"/>
      <c r="G23" s="276">
        <v>25895</v>
      </c>
    </row>
    <row r="24" spans="1:7" s="313" customFormat="1" ht="12.75" customHeight="1">
      <c r="A24" s="261">
        <v>41</v>
      </c>
      <c r="B24" s="262"/>
      <c r="C24" s="263" t="s">
        <v>251</v>
      </c>
      <c r="D24" s="275"/>
      <c r="E24" s="275"/>
      <c r="F24" s="275"/>
      <c r="G24" s="276">
        <v>3141.3</v>
      </c>
    </row>
    <row r="25" spans="1:7" s="260" customFormat="1" ht="12.75" customHeight="1">
      <c r="A25" s="314">
        <v>42</v>
      </c>
      <c r="B25" s="315"/>
      <c r="C25" s="263" t="s">
        <v>252</v>
      </c>
      <c r="D25" s="275"/>
      <c r="E25" s="275"/>
      <c r="F25" s="275"/>
      <c r="G25" s="276">
        <v>18879.1</v>
      </c>
    </row>
    <row r="26" spans="1:7" s="318" customFormat="1" ht="12.75" customHeight="1">
      <c r="A26" s="278">
        <v>430</v>
      </c>
      <c r="B26" s="262"/>
      <c r="C26" s="263" t="s">
        <v>253</v>
      </c>
      <c r="D26" s="316"/>
      <c r="E26" s="316"/>
      <c r="F26" s="316"/>
      <c r="G26" s="298">
        <v>2943.5</v>
      </c>
    </row>
    <row r="27" spans="1:7" s="318" customFormat="1" ht="12.75" customHeight="1">
      <c r="A27" s="278">
        <v>431</v>
      </c>
      <c r="B27" s="262"/>
      <c r="C27" s="263" t="s">
        <v>254</v>
      </c>
      <c r="D27" s="316"/>
      <c r="E27" s="316"/>
      <c r="F27" s="316"/>
      <c r="G27" s="298">
        <v>1940</v>
      </c>
    </row>
    <row r="28" spans="1:7" s="318" customFormat="1" ht="12.75" customHeight="1">
      <c r="A28" s="278">
        <v>432</v>
      </c>
      <c r="B28" s="262"/>
      <c r="C28" s="263" t="s">
        <v>255</v>
      </c>
      <c r="D28" s="316"/>
      <c r="E28" s="316"/>
      <c r="F28" s="316"/>
      <c r="G28" s="298">
        <v>0</v>
      </c>
    </row>
    <row r="29" spans="1:7" s="318" customFormat="1" ht="12.75" customHeight="1">
      <c r="A29" s="278">
        <v>439</v>
      </c>
      <c r="B29" s="262"/>
      <c r="C29" s="263" t="s">
        <v>256</v>
      </c>
      <c r="D29" s="316"/>
      <c r="E29" s="316"/>
      <c r="F29" s="316"/>
      <c r="G29" s="298">
        <v>640.7</v>
      </c>
    </row>
    <row r="30" spans="1:7" s="260" customFormat="1" ht="25.5">
      <c r="A30" s="278">
        <v>450</v>
      </c>
      <c r="B30" s="279"/>
      <c r="C30" s="280" t="s">
        <v>257</v>
      </c>
      <c r="D30" s="264">
        <v>0</v>
      </c>
      <c r="E30" s="264">
        <v>0</v>
      </c>
      <c r="F30" s="264">
        <v>0</v>
      </c>
      <c r="G30" s="319">
        <v>172.19999999999982</v>
      </c>
    </row>
    <row r="31" spans="1:7" s="285" customFormat="1" ht="25.5">
      <c r="A31" s="278">
        <v>451</v>
      </c>
      <c r="B31" s="279"/>
      <c r="C31" s="280" t="s">
        <v>258</v>
      </c>
      <c r="D31" s="281"/>
      <c r="E31" s="281"/>
      <c r="F31" s="281"/>
      <c r="G31" s="276">
        <v>3022.9</v>
      </c>
    </row>
    <row r="32" spans="1:7" s="260" customFormat="1" ht="12.75" customHeight="1">
      <c r="A32" s="261">
        <v>46</v>
      </c>
      <c r="B32" s="262"/>
      <c r="C32" s="263" t="s">
        <v>259</v>
      </c>
      <c r="D32" s="275"/>
      <c r="E32" s="275"/>
      <c r="F32" s="275"/>
      <c r="G32" s="276">
        <v>155818.7</v>
      </c>
    </row>
    <row r="33" spans="1:7" s="285" customFormat="1" ht="12.75" customHeight="1">
      <c r="A33" s="322" t="s">
        <v>260</v>
      </c>
      <c r="B33" s="269"/>
      <c r="C33" s="270" t="s">
        <v>261</v>
      </c>
      <c r="D33" s="271"/>
      <c r="E33" s="275"/>
      <c r="F33" s="271"/>
      <c r="G33" s="273">
        <v>0</v>
      </c>
    </row>
    <row r="34" spans="1:7" s="260" customFormat="1" ht="15" customHeight="1">
      <c r="A34" s="261">
        <v>47</v>
      </c>
      <c r="B34" s="262"/>
      <c r="C34" s="263" t="s">
        <v>240</v>
      </c>
      <c r="D34" s="275"/>
      <c r="E34" s="275"/>
      <c r="F34" s="275"/>
      <c r="G34" s="276">
        <v>36366</v>
      </c>
    </row>
    <row r="35" spans="1:7" s="260" customFormat="1" ht="15" customHeight="1">
      <c r="A35" s="301">
        <v>49</v>
      </c>
      <c r="B35" s="302"/>
      <c r="C35" s="303" t="s">
        <v>262</v>
      </c>
      <c r="D35" s="306"/>
      <c r="E35" s="304"/>
      <c r="F35" s="306"/>
      <c r="G35" s="308">
        <v>36051.5</v>
      </c>
    </row>
    <row r="36" spans="1:7" ht="13.5" customHeight="1">
      <c r="A36" s="309"/>
      <c r="B36" s="335"/>
      <c r="C36" s="310" t="s">
        <v>263</v>
      </c>
      <c r="D36" s="311">
        <f>D22+D23+D24+D25+D26+D27+D28+D29+D30+D31+D32+D34</f>
        <v>0</v>
      </c>
      <c r="E36" s="311">
        <f>E22+E23+E24+E25+E26+E27+E28+E29+E30+E31+E32+E34</f>
        <v>0</v>
      </c>
      <c r="F36" s="311">
        <f>F22+F23+F24+F25+F26+F27+F28+F29+F30+F31+F32+F34</f>
        <v>0</v>
      </c>
      <c r="G36" s="311">
        <f>G22+G23+G24+G25+G26+G27+G28+G29+G30+G31+G32+G34</f>
        <v>383469.4</v>
      </c>
    </row>
    <row r="37" spans="1:7" s="487" customFormat="1" ht="15" customHeight="1">
      <c r="A37" s="309"/>
      <c r="B37" s="335"/>
      <c r="C37" s="310" t="s">
        <v>264</v>
      </c>
      <c r="D37" s="311">
        <f>D36-D21</f>
        <v>0</v>
      </c>
      <c r="E37" s="311">
        <f>E36-E21</f>
        <v>0</v>
      </c>
      <c r="F37" s="311">
        <f>F36-F21</f>
        <v>0</v>
      </c>
      <c r="G37" s="311">
        <f>G36-G21</f>
        <v>-30538.49999999994</v>
      </c>
    </row>
    <row r="38" spans="1:7" s="285" customFormat="1" ht="15" customHeight="1">
      <c r="A38" s="274">
        <v>340</v>
      </c>
      <c r="B38" s="262"/>
      <c r="C38" s="263" t="s">
        <v>265</v>
      </c>
      <c r="D38" s="275">
        <v>0</v>
      </c>
      <c r="E38" s="264">
        <v>0</v>
      </c>
      <c r="F38" s="275">
        <v>0</v>
      </c>
      <c r="G38" s="276">
        <v>1417</v>
      </c>
    </row>
    <row r="39" spans="1:7" s="285" customFormat="1" ht="15" customHeight="1">
      <c r="A39" s="274">
        <v>341</v>
      </c>
      <c r="B39" s="262"/>
      <c r="C39" s="263" t="s">
        <v>266</v>
      </c>
      <c r="D39" s="275"/>
      <c r="E39" s="275"/>
      <c r="F39" s="275"/>
      <c r="G39" s="276">
        <v>0</v>
      </c>
    </row>
    <row r="40" spans="1:7" s="285" customFormat="1" ht="15" customHeight="1">
      <c r="A40" s="274">
        <v>342</v>
      </c>
      <c r="B40" s="262"/>
      <c r="C40" s="263" t="s">
        <v>267</v>
      </c>
      <c r="D40" s="275"/>
      <c r="E40" s="275"/>
      <c r="F40" s="275"/>
      <c r="G40" s="276">
        <v>0</v>
      </c>
    </row>
    <row r="41" spans="1:7" s="285" customFormat="1" ht="15" customHeight="1">
      <c r="A41" s="274">
        <v>343</v>
      </c>
      <c r="B41" s="262"/>
      <c r="C41" s="263" t="s">
        <v>268</v>
      </c>
      <c r="D41" s="275"/>
      <c r="E41" s="275"/>
      <c r="F41" s="275"/>
      <c r="G41" s="276">
        <v>499</v>
      </c>
    </row>
    <row r="42" spans="1:7" s="285" customFormat="1" ht="15" customHeight="1">
      <c r="A42" s="274">
        <v>344</v>
      </c>
      <c r="B42" s="262"/>
      <c r="C42" s="263" t="s">
        <v>269</v>
      </c>
      <c r="D42" s="275"/>
      <c r="E42" s="275"/>
      <c r="F42" s="275"/>
      <c r="G42" s="276">
        <v>0</v>
      </c>
    </row>
    <row r="43" spans="1:7" s="285" customFormat="1" ht="15" customHeight="1">
      <c r="A43" s="274">
        <v>349</v>
      </c>
      <c r="B43" s="262"/>
      <c r="C43" s="263" t="s">
        <v>270</v>
      </c>
      <c r="D43" s="275"/>
      <c r="E43" s="275"/>
      <c r="F43" s="275"/>
      <c r="G43" s="276">
        <v>0</v>
      </c>
    </row>
    <row r="44" spans="1:7" s="260" customFormat="1" ht="15" customHeight="1">
      <c r="A44" s="261">
        <v>440</v>
      </c>
      <c r="B44" s="262"/>
      <c r="C44" s="263" t="s">
        <v>271</v>
      </c>
      <c r="D44" s="275"/>
      <c r="E44" s="264"/>
      <c r="F44" s="275"/>
      <c r="G44" s="276">
        <v>1740.4</v>
      </c>
    </row>
    <row r="45" spans="1:7" s="260" customFormat="1" ht="15" customHeight="1">
      <c r="A45" s="261">
        <v>441</v>
      </c>
      <c r="B45" s="262"/>
      <c r="C45" s="263" t="s">
        <v>272</v>
      </c>
      <c r="D45" s="275">
        <v>0</v>
      </c>
      <c r="E45" s="264">
        <v>0</v>
      </c>
      <c r="F45" s="275">
        <v>0</v>
      </c>
      <c r="G45" s="276">
        <v>0</v>
      </c>
    </row>
    <row r="46" spans="1:7" s="260" customFormat="1" ht="15" customHeight="1">
      <c r="A46" s="261">
        <v>442</v>
      </c>
      <c r="B46" s="262"/>
      <c r="C46" s="263" t="s">
        <v>273</v>
      </c>
      <c r="D46" s="275"/>
      <c r="E46" s="264"/>
      <c r="F46" s="275"/>
      <c r="G46" s="276">
        <v>0</v>
      </c>
    </row>
    <row r="47" spans="1:7" s="260" customFormat="1" ht="15" customHeight="1">
      <c r="A47" s="261">
        <v>443</v>
      </c>
      <c r="B47" s="262"/>
      <c r="C47" s="263" t="s">
        <v>274</v>
      </c>
      <c r="D47" s="275"/>
      <c r="E47" s="264"/>
      <c r="F47" s="275"/>
      <c r="G47" s="276">
        <v>1829.1</v>
      </c>
    </row>
    <row r="48" spans="1:7" s="260" customFormat="1" ht="15" customHeight="1">
      <c r="A48" s="261">
        <v>444</v>
      </c>
      <c r="B48" s="262"/>
      <c r="C48" s="263" t="s">
        <v>269</v>
      </c>
      <c r="D48" s="275"/>
      <c r="E48" s="264"/>
      <c r="F48" s="275"/>
      <c r="G48" s="276">
        <v>2190</v>
      </c>
    </row>
    <row r="49" spans="1:7" s="260" customFormat="1" ht="15" customHeight="1">
      <c r="A49" s="261">
        <v>445</v>
      </c>
      <c r="B49" s="262"/>
      <c r="C49" s="263" t="s">
        <v>275</v>
      </c>
      <c r="D49" s="275"/>
      <c r="E49" s="264"/>
      <c r="F49" s="275"/>
      <c r="G49" s="276">
        <v>400</v>
      </c>
    </row>
    <row r="50" spans="1:7" s="260" customFormat="1" ht="15" customHeight="1">
      <c r="A50" s="261">
        <v>446</v>
      </c>
      <c r="B50" s="262"/>
      <c r="C50" s="263" t="s">
        <v>276</v>
      </c>
      <c r="D50" s="275"/>
      <c r="E50" s="264"/>
      <c r="F50" s="275"/>
      <c r="G50" s="276">
        <v>6530</v>
      </c>
    </row>
    <row r="51" spans="1:7" s="260" customFormat="1" ht="15" customHeight="1">
      <c r="A51" s="261">
        <v>447</v>
      </c>
      <c r="B51" s="262"/>
      <c r="C51" s="263" t="s">
        <v>277</v>
      </c>
      <c r="D51" s="275"/>
      <c r="E51" s="264"/>
      <c r="F51" s="275"/>
      <c r="G51" s="276">
        <v>2545</v>
      </c>
    </row>
    <row r="52" spans="1:7" s="260" customFormat="1" ht="15" customHeight="1">
      <c r="A52" s="261">
        <v>448</v>
      </c>
      <c r="B52" s="262"/>
      <c r="C52" s="263" t="s">
        <v>278</v>
      </c>
      <c r="D52" s="275"/>
      <c r="E52" s="264"/>
      <c r="F52" s="275"/>
      <c r="G52" s="276">
        <v>0</v>
      </c>
    </row>
    <row r="53" spans="1:7" s="260" customFormat="1" ht="15" customHeight="1">
      <c r="A53" s="261">
        <v>449</v>
      </c>
      <c r="B53" s="262"/>
      <c r="C53" s="263" t="s">
        <v>279</v>
      </c>
      <c r="D53" s="275"/>
      <c r="E53" s="264"/>
      <c r="F53" s="275"/>
      <c r="G53" s="276">
        <v>0</v>
      </c>
    </row>
    <row r="54" spans="1:7" s="285" customFormat="1" ht="13.5" customHeight="1">
      <c r="A54" s="329" t="s">
        <v>280</v>
      </c>
      <c r="B54" s="330"/>
      <c r="C54" s="330" t="s">
        <v>281</v>
      </c>
      <c r="D54" s="332"/>
      <c r="E54" s="331"/>
      <c r="F54" s="332"/>
      <c r="G54" s="334">
        <v>0</v>
      </c>
    </row>
    <row r="55" spans="1:7" ht="15" customHeight="1">
      <c r="A55" s="335"/>
      <c r="B55" s="335"/>
      <c r="C55" s="310" t="s">
        <v>282</v>
      </c>
      <c r="D55" s="311">
        <f>SUM(D44:D53)-SUM(D38:D43)</f>
        <v>0</v>
      </c>
      <c r="E55" s="311">
        <f>SUM(E44:E53)-SUM(E38:E43)</f>
        <v>0</v>
      </c>
      <c r="F55" s="311">
        <f>SUM(F44:F53)-SUM(F38:F43)</f>
        <v>0</v>
      </c>
      <c r="G55" s="311">
        <f>SUM(G44:G53)-SUM(G38:G43)</f>
        <v>13318.5</v>
      </c>
    </row>
    <row r="56" spans="1:7" ht="14.25" customHeight="1">
      <c r="A56" s="335"/>
      <c r="B56" s="335"/>
      <c r="C56" s="310" t="s">
        <v>283</v>
      </c>
      <c r="D56" s="311">
        <f>D55+D37</f>
        <v>0</v>
      </c>
      <c r="E56" s="311">
        <f>E55+E37</f>
        <v>0</v>
      </c>
      <c r="F56" s="311">
        <f>F55+F37</f>
        <v>0</v>
      </c>
      <c r="G56" s="311">
        <f>G55+G37</f>
        <v>-17219.99999999994</v>
      </c>
    </row>
    <row r="57" spans="1:7" s="260" customFormat="1" ht="15.75" customHeight="1">
      <c r="A57" s="336">
        <v>380</v>
      </c>
      <c r="B57" s="337"/>
      <c r="C57" s="338" t="s">
        <v>284</v>
      </c>
      <c r="D57" s="257">
        <v>0</v>
      </c>
      <c r="E57" s="257">
        <v>0</v>
      </c>
      <c r="F57" s="257">
        <v>0</v>
      </c>
      <c r="G57" s="257">
        <v>0</v>
      </c>
    </row>
    <row r="58" spans="1:7" s="260" customFormat="1" ht="15.75" customHeight="1">
      <c r="A58" s="336">
        <v>381</v>
      </c>
      <c r="B58" s="337"/>
      <c r="C58" s="338" t="s">
        <v>285</v>
      </c>
      <c r="D58" s="257">
        <v>0</v>
      </c>
      <c r="E58" s="257">
        <v>0</v>
      </c>
      <c r="F58" s="257">
        <v>0</v>
      </c>
      <c r="G58" s="257">
        <v>0</v>
      </c>
    </row>
    <row r="59" spans="1:7" s="285" customFormat="1" ht="25.5">
      <c r="A59" s="278">
        <v>383</v>
      </c>
      <c r="B59" s="279"/>
      <c r="C59" s="280" t="s">
        <v>286</v>
      </c>
      <c r="D59" s="344"/>
      <c r="E59" s="343"/>
      <c r="F59" s="344"/>
      <c r="G59" s="321">
        <v>0</v>
      </c>
    </row>
    <row r="60" spans="1:7" s="285" customFormat="1" ht="12.75">
      <c r="A60" s="278">
        <v>3840</v>
      </c>
      <c r="B60" s="279"/>
      <c r="C60" s="280" t="s">
        <v>287</v>
      </c>
      <c r="D60" s="346"/>
      <c r="E60" s="346"/>
      <c r="F60" s="346"/>
      <c r="G60" s="482">
        <v>0</v>
      </c>
    </row>
    <row r="61" spans="1:7" s="285" customFormat="1" ht="12.75">
      <c r="A61" s="278">
        <v>3841</v>
      </c>
      <c r="B61" s="279"/>
      <c r="C61" s="280" t="s">
        <v>288</v>
      </c>
      <c r="D61" s="346"/>
      <c r="E61" s="346"/>
      <c r="F61" s="346"/>
      <c r="G61" s="482">
        <v>0</v>
      </c>
    </row>
    <row r="62" spans="1:7" s="285" customFormat="1" ht="12.75">
      <c r="A62" s="349">
        <v>386</v>
      </c>
      <c r="B62" s="350"/>
      <c r="C62" s="351" t="s">
        <v>289</v>
      </c>
      <c r="D62" s="346"/>
      <c r="E62" s="346"/>
      <c r="F62" s="346"/>
      <c r="G62" s="482">
        <v>0</v>
      </c>
    </row>
    <row r="63" spans="1:7" s="285" customFormat="1" ht="25.5">
      <c r="A63" s="278">
        <v>387</v>
      </c>
      <c r="B63" s="279"/>
      <c r="C63" s="280" t="s">
        <v>290</v>
      </c>
      <c r="D63" s="346"/>
      <c r="E63" s="346"/>
      <c r="F63" s="346"/>
      <c r="G63" s="482">
        <v>0</v>
      </c>
    </row>
    <row r="64" spans="1:7" s="285" customFormat="1" ht="12.75">
      <c r="A64" s="274">
        <v>389</v>
      </c>
      <c r="B64" s="352"/>
      <c r="C64" s="263" t="s">
        <v>57</v>
      </c>
      <c r="D64" s="275"/>
      <c r="E64" s="275"/>
      <c r="F64" s="275"/>
      <c r="G64" s="276">
        <v>0</v>
      </c>
    </row>
    <row r="65" spans="1:7" s="260" customFormat="1" ht="12.75">
      <c r="A65" s="274" t="s">
        <v>291</v>
      </c>
      <c r="B65" s="262"/>
      <c r="C65" s="263" t="s">
        <v>292</v>
      </c>
      <c r="D65" s="275"/>
      <c r="E65" s="275"/>
      <c r="F65" s="275"/>
      <c r="G65" s="276">
        <v>0</v>
      </c>
    </row>
    <row r="66" spans="1:7" s="355" customFormat="1" ht="25.5">
      <c r="A66" s="492" t="s">
        <v>293</v>
      </c>
      <c r="B66" s="354"/>
      <c r="C66" s="280" t="s">
        <v>294</v>
      </c>
      <c r="D66" s="344"/>
      <c r="E66" s="344"/>
      <c r="F66" s="344"/>
      <c r="G66" s="321">
        <v>0</v>
      </c>
    </row>
    <row r="67" spans="1:7" s="260" customFormat="1" ht="12.75">
      <c r="A67" s="353">
        <v>481</v>
      </c>
      <c r="B67" s="262"/>
      <c r="C67" s="263" t="s">
        <v>295</v>
      </c>
      <c r="D67" s="275"/>
      <c r="E67" s="275"/>
      <c r="F67" s="275"/>
      <c r="G67" s="276">
        <v>0</v>
      </c>
    </row>
    <row r="68" spans="1:7" s="260" customFormat="1" ht="12.75">
      <c r="A68" s="353">
        <v>482</v>
      </c>
      <c r="B68" s="262"/>
      <c r="C68" s="263" t="s">
        <v>296</v>
      </c>
      <c r="D68" s="275"/>
      <c r="E68" s="275"/>
      <c r="F68" s="275"/>
      <c r="G68" s="276">
        <v>0</v>
      </c>
    </row>
    <row r="69" spans="1:7" s="260" customFormat="1" ht="12.75">
      <c r="A69" s="353">
        <v>483</v>
      </c>
      <c r="B69" s="262"/>
      <c r="C69" s="263" t="s">
        <v>297</v>
      </c>
      <c r="D69" s="275"/>
      <c r="E69" s="275"/>
      <c r="F69" s="275"/>
      <c r="G69" s="276">
        <v>0</v>
      </c>
    </row>
    <row r="70" spans="1:7" s="260" customFormat="1" ht="12.75">
      <c r="A70" s="353">
        <v>484</v>
      </c>
      <c r="B70" s="262"/>
      <c r="C70" s="263" t="s">
        <v>298</v>
      </c>
      <c r="D70" s="275"/>
      <c r="E70" s="275"/>
      <c r="F70" s="275"/>
      <c r="G70" s="276">
        <v>0</v>
      </c>
    </row>
    <row r="71" spans="1:7" s="260" customFormat="1" ht="12.75">
      <c r="A71" s="353">
        <v>485</v>
      </c>
      <c r="B71" s="262"/>
      <c r="C71" s="263" t="s">
        <v>299</v>
      </c>
      <c r="D71" s="275"/>
      <c r="E71" s="275"/>
      <c r="F71" s="275"/>
      <c r="G71" s="276">
        <v>0</v>
      </c>
    </row>
    <row r="72" spans="1:7" s="260" customFormat="1" ht="12.75">
      <c r="A72" s="353">
        <v>486</v>
      </c>
      <c r="B72" s="262"/>
      <c r="C72" s="263" t="s">
        <v>300</v>
      </c>
      <c r="D72" s="275"/>
      <c r="E72" s="275"/>
      <c r="F72" s="275"/>
      <c r="G72" s="276">
        <v>0</v>
      </c>
    </row>
    <row r="73" spans="1:7" s="285" customFormat="1" ht="12.75">
      <c r="A73" s="353">
        <v>487</v>
      </c>
      <c r="B73" s="269"/>
      <c r="C73" s="263" t="s">
        <v>301</v>
      </c>
      <c r="D73" s="275"/>
      <c r="E73" s="264"/>
      <c r="F73" s="275"/>
      <c r="G73" s="276">
        <v>0</v>
      </c>
    </row>
    <row r="74" spans="1:7" s="285" customFormat="1" ht="12.75">
      <c r="A74" s="353">
        <v>489</v>
      </c>
      <c r="B74" s="356"/>
      <c r="C74" s="303" t="s">
        <v>74</v>
      </c>
      <c r="D74" s="275"/>
      <c r="E74" s="264"/>
      <c r="F74" s="275"/>
      <c r="G74" s="276">
        <v>0</v>
      </c>
    </row>
    <row r="75" spans="1:7" s="285" customFormat="1" ht="12.75">
      <c r="A75" s="357" t="s">
        <v>302</v>
      </c>
      <c r="B75" s="356"/>
      <c r="C75" s="330" t="s">
        <v>303</v>
      </c>
      <c r="D75" s="275"/>
      <c r="E75" s="275"/>
      <c r="F75" s="275"/>
      <c r="G75" s="276">
        <v>0</v>
      </c>
    </row>
    <row r="76" spans="1:7" ht="12.75">
      <c r="A76" s="309"/>
      <c r="B76" s="309"/>
      <c r="C76" s="310" t="s">
        <v>304</v>
      </c>
      <c r="D76" s="311">
        <f>SUM(D65:D74)-SUM(D57:D64)</f>
        <v>0</v>
      </c>
      <c r="E76" s="311">
        <f>SUM(E65:E74)-SUM(E57:E64)</f>
        <v>0</v>
      </c>
      <c r="F76" s="311">
        <f>SUM(F65:F74)-SUM(F57:F64)</f>
        <v>0</v>
      </c>
      <c r="G76" s="311">
        <f>SUM(G65:G74)-SUM(G57:G64)</f>
        <v>0</v>
      </c>
    </row>
    <row r="77" spans="1:7" ht="12.75">
      <c r="A77" s="358"/>
      <c r="B77" s="358"/>
      <c r="C77" s="310" t="s">
        <v>305</v>
      </c>
      <c r="D77" s="311">
        <f>D56+D76</f>
        <v>0</v>
      </c>
      <c r="E77" s="311">
        <f>E56+E76</f>
        <v>0</v>
      </c>
      <c r="F77" s="311">
        <f>F56+F76</f>
        <v>0</v>
      </c>
      <c r="G77" s="311">
        <f>G56+G76</f>
        <v>-17219.99999999994</v>
      </c>
    </row>
    <row r="78" spans="1:7" ht="12.75">
      <c r="A78" s="359">
        <v>3</v>
      </c>
      <c r="B78" s="359"/>
      <c r="C78" s="360" t="s">
        <v>306</v>
      </c>
      <c r="D78" s="361">
        <f>D20+D21+SUM(D38:D43)+SUM(D57:D64)</f>
        <v>0</v>
      </c>
      <c r="E78" s="361">
        <f>E20+E21+SUM(E38:E43)+SUM(E57:E64)</f>
        <v>0</v>
      </c>
      <c r="F78" s="361">
        <f>F20+F21+SUM(F38:F43)+SUM(F57:F64)</f>
        <v>0</v>
      </c>
      <c r="G78" s="361">
        <f>G20+G21+SUM(G38:G43)+SUM(G57:G64)</f>
        <v>451975.39999999997</v>
      </c>
    </row>
    <row r="79" spans="1:7" ht="12.75">
      <c r="A79" s="359">
        <v>4</v>
      </c>
      <c r="B79" s="359"/>
      <c r="C79" s="360" t="s">
        <v>307</v>
      </c>
      <c r="D79" s="361">
        <f>D35+D36+SUM(D44:D53)+SUM(D65:D74)</f>
        <v>0</v>
      </c>
      <c r="E79" s="361">
        <f>E35+E36+SUM(E44:E53)+SUM(E65:E74)</f>
        <v>0</v>
      </c>
      <c r="F79" s="361">
        <f>F35+F36+SUM(F44:F53)+SUM(F65:F74)</f>
        <v>0</v>
      </c>
      <c r="G79" s="361">
        <f>G35+G36+SUM(G44:G53)+SUM(G65:G74)</f>
        <v>434755.4</v>
      </c>
    </row>
    <row r="80" spans="1:7" ht="12.75">
      <c r="A80" s="362"/>
      <c r="B80" s="362"/>
      <c r="C80" s="363"/>
      <c r="D80" s="364"/>
      <c r="E80" s="364"/>
      <c r="F80" s="364"/>
      <c r="G80" s="364"/>
    </row>
    <row r="81" spans="1:7" ht="12.75">
      <c r="A81" s="611" t="s">
        <v>308</v>
      </c>
      <c r="B81" s="612"/>
      <c r="C81" s="612"/>
      <c r="D81" s="366"/>
      <c r="E81" s="365"/>
      <c r="F81" s="366"/>
      <c r="G81" s="365"/>
    </row>
    <row r="82" spans="1:7" s="260" customFormat="1" ht="12.75">
      <c r="A82" s="367">
        <v>50</v>
      </c>
      <c r="B82" s="368"/>
      <c r="C82" s="368" t="s">
        <v>309</v>
      </c>
      <c r="D82" s="275"/>
      <c r="E82" s="275"/>
      <c r="F82" s="275"/>
      <c r="G82" s="276">
        <v>40148.5</v>
      </c>
    </row>
    <row r="83" spans="1:7" s="260" customFormat="1" ht="12.75">
      <c r="A83" s="367">
        <v>51</v>
      </c>
      <c r="B83" s="368"/>
      <c r="C83" s="368" t="s">
        <v>310</v>
      </c>
      <c r="D83" s="275"/>
      <c r="E83" s="275"/>
      <c r="F83" s="275"/>
      <c r="G83" s="276">
        <v>0</v>
      </c>
    </row>
    <row r="84" spans="1:7" s="260" customFormat="1" ht="12.75">
      <c r="A84" s="367">
        <v>52</v>
      </c>
      <c r="B84" s="368"/>
      <c r="C84" s="368" t="s">
        <v>311</v>
      </c>
      <c r="D84" s="275"/>
      <c r="E84" s="275"/>
      <c r="F84" s="275"/>
      <c r="G84" s="276">
        <v>845</v>
      </c>
    </row>
    <row r="85" spans="1:7" s="260" customFormat="1" ht="12.75">
      <c r="A85" s="369">
        <v>54</v>
      </c>
      <c r="B85" s="370"/>
      <c r="C85" s="370" t="s">
        <v>312</v>
      </c>
      <c r="D85" s="271"/>
      <c r="E85" s="271"/>
      <c r="F85" s="271"/>
      <c r="G85" s="276">
        <v>1120</v>
      </c>
    </row>
    <row r="86" spans="1:7" s="260" customFormat="1" ht="12.75">
      <c r="A86" s="369">
        <v>55</v>
      </c>
      <c r="B86" s="370"/>
      <c r="C86" s="370" t="s">
        <v>313</v>
      </c>
      <c r="D86" s="271"/>
      <c r="E86" s="271"/>
      <c r="F86" s="271"/>
      <c r="G86" s="276">
        <v>0</v>
      </c>
    </row>
    <row r="87" spans="1:7" s="260" customFormat="1" ht="12.75">
      <c r="A87" s="369">
        <v>56</v>
      </c>
      <c r="B87" s="370"/>
      <c r="C87" s="370" t="s">
        <v>314</v>
      </c>
      <c r="D87" s="271"/>
      <c r="E87" s="271"/>
      <c r="F87" s="271"/>
      <c r="G87" s="276">
        <v>5336</v>
      </c>
    </row>
    <row r="88" spans="1:7" s="260" customFormat="1" ht="12.75">
      <c r="A88" s="367">
        <v>57</v>
      </c>
      <c r="B88" s="368"/>
      <c r="C88" s="368" t="s">
        <v>315</v>
      </c>
      <c r="D88" s="275"/>
      <c r="E88" s="275"/>
      <c r="F88" s="275"/>
      <c r="G88" s="276">
        <v>3705.3</v>
      </c>
    </row>
    <row r="89" spans="1:7" s="260" customFormat="1" ht="12.75">
      <c r="A89" s="367">
        <v>580</v>
      </c>
      <c r="B89" s="368"/>
      <c r="C89" s="368" t="s">
        <v>316</v>
      </c>
      <c r="D89" s="275"/>
      <c r="E89" s="275"/>
      <c r="F89" s="275"/>
      <c r="G89" s="276">
        <v>0</v>
      </c>
    </row>
    <row r="90" spans="1:7" s="260" customFormat="1" ht="12.75">
      <c r="A90" s="367">
        <v>582</v>
      </c>
      <c r="B90" s="368"/>
      <c r="C90" s="368" t="s">
        <v>317</v>
      </c>
      <c r="D90" s="275"/>
      <c r="E90" s="275"/>
      <c r="F90" s="275"/>
      <c r="G90" s="276">
        <v>0</v>
      </c>
    </row>
    <row r="91" spans="1:7" s="260" customFormat="1" ht="12.75">
      <c r="A91" s="367">
        <v>584</v>
      </c>
      <c r="B91" s="368"/>
      <c r="C91" s="368" t="s">
        <v>318</v>
      </c>
      <c r="D91" s="275"/>
      <c r="E91" s="275"/>
      <c r="F91" s="275"/>
      <c r="G91" s="276">
        <v>0</v>
      </c>
    </row>
    <row r="92" spans="1:7" s="260" customFormat="1" ht="12.75">
      <c r="A92" s="367">
        <v>585</v>
      </c>
      <c r="B92" s="368"/>
      <c r="C92" s="368" t="s">
        <v>319</v>
      </c>
      <c r="D92" s="275"/>
      <c r="E92" s="275"/>
      <c r="F92" s="275"/>
      <c r="G92" s="276">
        <v>0</v>
      </c>
    </row>
    <row r="93" spans="1:7" s="260" customFormat="1" ht="12.75">
      <c r="A93" s="367">
        <v>586</v>
      </c>
      <c r="B93" s="368"/>
      <c r="C93" s="368" t="s">
        <v>320</v>
      </c>
      <c r="D93" s="275"/>
      <c r="E93" s="275"/>
      <c r="F93" s="275"/>
      <c r="G93" s="276">
        <v>0</v>
      </c>
    </row>
    <row r="94" spans="1:7" s="260" customFormat="1" ht="12.75">
      <c r="A94" s="371">
        <v>589</v>
      </c>
      <c r="B94" s="372"/>
      <c r="C94" s="372" t="s">
        <v>321</v>
      </c>
      <c r="D94" s="306"/>
      <c r="E94" s="306"/>
      <c r="F94" s="306"/>
      <c r="G94" s="308">
        <v>0</v>
      </c>
    </row>
    <row r="95" spans="1:7" ht="12.75">
      <c r="A95" s="374">
        <v>5</v>
      </c>
      <c r="B95" s="375"/>
      <c r="C95" s="375" t="s">
        <v>322</v>
      </c>
      <c r="D95" s="376">
        <f>SUM(D82:D94)</f>
        <v>0</v>
      </c>
      <c r="E95" s="376">
        <f>SUM(E82:E94)</f>
        <v>0</v>
      </c>
      <c r="F95" s="376">
        <f>SUM(F82:F94)</f>
        <v>0</v>
      </c>
      <c r="G95" s="376">
        <f>SUM(G82:G94)</f>
        <v>51154.8</v>
      </c>
    </row>
    <row r="96" spans="1:7" s="260" customFormat="1" ht="12.75">
      <c r="A96" s="367">
        <v>60</v>
      </c>
      <c r="B96" s="368"/>
      <c r="C96" s="368" t="s">
        <v>323</v>
      </c>
      <c r="D96" s="275"/>
      <c r="E96" s="275"/>
      <c r="F96" s="275"/>
      <c r="G96" s="276">
        <v>0</v>
      </c>
    </row>
    <row r="97" spans="1:7" s="260" customFormat="1" ht="12.75">
      <c r="A97" s="367">
        <v>61</v>
      </c>
      <c r="B97" s="368"/>
      <c r="C97" s="368" t="s">
        <v>324</v>
      </c>
      <c r="D97" s="275"/>
      <c r="E97" s="275"/>
      <c r="F97" s="275"/>
      <c r="G97" s="276">
        <v>2406</v>
      </c>
    </row>
    <row r="98" spans="1:7" s="260" customFormat="1" ht="12.75">
      <c r="A98" s="367">
        <v>62</v>
      </c>
      <c r="B98" s="368"/>
      <c r="C98" s="368" t="s">
        <v>325</v>
      </c>
      <c r="D98" s="275"/>
      <c r="E98" s="275"/>
      <c r="F98" s="275"/>
      <c r="G98" s="276">
        <v>0</v>
      </c>
    </row>
    <row r="99" spans="1:7" s="260" customFormat="1" ht="12.75">
      <c r="A99" s="367">
        <v>63</v>
      </c>
      <c r="B99" s="368"/>
      <c r="C99" s="368" t="s">
        <v>326</v>
      </c>
      <c r="D99" s="275"/>
      <c r="E99" s="275"/>
      <c r="F99" s="275"/>
      <c r="G99" s="276">
        <v>4754</v>
      </c>
    </row>
    <row r="100" spans="1:7" s="260" customFormat="1" ht="12.75">
      <c r="A100" s="369">
        <v>64</v>
      </c>
      <c r="B100" s="370"/>
      <c r="C100" s="370" t="s">
        <v>327</v>
      </c>
      <c r="D100" s="271"/>
      <c r="E100" s="271"/>
      <c r="F100" s="271"/>
      <c r="G100" s="276">
        <v>1110</v>
      </c>
    </row>
    <row r="101" spans="1:7" s="260" customFormat="1" ht="12.75">
      <c r="A101" s="369">
        <v>65</v>
      </c>
      <c r="B101" s="370"/>
      <c r="C101" s="370" t="s">
        <v>328</v>
      </c>
      <c r="D101" s="271"/>
      <c r="E101" s="271"/>
      <c r="F101" s="271"/>
      <c r="G101" s="276">
        <v>0</v>
      </c>
    </row>
    <row r="102" spans="1:7" s="260" customFormat="1" ht="12.75">
      <c r="A102" s="369">
        <v>66</v>
      </c>
      <c r="B102" s="370"/>
      <c r="C102" s="370" t="s">
        <v>329</v>
      </c>
      <c r="D102" s="271"/>
      <c r="E102" s="271"/>
      <c r="F102" s="271"/>
      <c r="G102" s="276">
        <v>0</v>
      </c>
    </row>
    <row r="103" spans="1:7" s="260" customFormat="1" ht="12.75">
      <c r="A103" s="367">
        <v>67</v>
      </c>
      <c r="B103" s="368"/>
      <c r="C103" s="368" t="s">
        <v>315</v>
      </c>
      <c r="D103" s="275"/>
      <c r="E103" s="275"/>
      <c r="F103" s="275"/>
      <c r="G103" s="267">
        <v>3705.3</v>
      </c>
    </row>
    <row r="104" spans="1:7" s="260" customFormat="1" ht="25.5">
      <c r="A104" s="377" t="s">
        <v>330</v>
      </c>
      <c r="B104" s="368"/>
      <c r="C104" s="378" t="s">
        <v>331</v>
      </c>
      <c r="D104" s="264"/>
      <c r="E104" s="264"/>
      <c r="F104" s="264"/>
      <c r="G104" s="267">
        <v>0</v>
      </c>
    </row>
    <row r="105" spans="1:7" s="260" customFormat="1" ht="38.25">
      <c r="A105" s="381" t="s">
        <v>332</v>
      </c>
      <c r="B105" s="372"/>
      <c r="C105" s="382" t="s">
        <v>333</v>
      </c>
      <c r="D105" s="304"/>
      <c r="E105" s="304"/>
      <c r="F105" s="304"/>
      <c r="G105" s="486">
        <v>0</v>
      </c>
    </row>
    <row r="106" spans="1:7" ht="12.75">
      <c r="A106" s="374">
        <v>6</v>
      </c>
      <c r="B106" s="375"/>
      <c r="C106" s="375" t="s">
        <v>334</v>
      </c>
      <c r="D106" s="376">
        <f>SUM(D96:D105)</f>
        <v>0</v>
      </c>
      <c r="E106" s="376">
        <f>SUM(E96:E105)</f>
        <v>0</v>
      </c>
      <c r="F106" s="376">
        <f>SUM(F96:F105)</f>
        <v>0</v>
      </c>
      <c r="G106" s="376">
        <f>SUM(G96:G105)</f>
        <v>11975.3</v>
      </c>
    </row>
    <row r="107" spans="1:7" ht="12.75">
      <c r="A107" s="386" t="s">
        <v>335</v>
      </c>
      <c r="B107" s="386"/>
      <c r="C107" s="375" t="s">
        <v>3</v>
      </c>
      <c r="D107" s="376">
        <f>(D95-D88)-(D106-D103)</f>
        <v>0</v>
      </c>
      <c r="E107" s="376">
        <f>(E95-E88)-(E106-E103)</f>
        <v>0</v>
      </c>
      <c r="F107" s="376">
        <f>(F95-F88)-(F106-F103)</f>
        <v>0</v>
      </c>
      <c r="G107" s="376">
        <f>(G95-G88)-(G106-G103)</f>
        <v>39179.5</v>
      </c>
    </row>
    <row r="108" spans="1:7" ht="12.75">
      <c r="A108" s="387" t="s">
        <v>336</v>
      </c>
      <c r="B108" s="387"/>
      <c r="C108" s="388" t="s">
        <v>337</v>
      </c>
      <c r="D108" s="376">
        <f>D107-D85-D86+D100+D101</f>
        <v>0</v>
      </c>
      <c r="E108" s="376">
        <f>E107-E85-E86+E100+E101</f>
        <v>0</v>
      </c>
      <c r="F108" s="376">
        <f>F107-F85-F86+F100+F101</f>
        <v>0</v>
      </c>
      <c r="G108" s="376">
        <f>G107-G85-G86+G100+G101</f>
        <v>39169.5</v>
      </c>
    </row>
    <row r="109" spans="1:7" ht="12.75">
      <c r="A109" s="362"/>
      <c r="B109" s="362"/>
      <c r="C109" s="363"/>
      <c r="D109" s="364"/>
      <c r="E109" s="364"/>
      <c r="F109" s="364"/>
      <c r="G109" s="364"/>
    </row>
    <row r="110" spans="1:7" s="250" customFormat="1" ht="12.75">
      <c r="A110" s="390" t="s">
        <v>338</v>
      </c>
      <c r="B110" s="391"/>
      <c r="C110" s="390"/>
      <c r="D110" s="364"/>
      <c r="E110" s="364"/>
      <c r="F110" s="364"/>
      <c r="G110" s="364"/>
    </row>
    <row r="111" spans="1:7" s="396" customFormat="1" ht="12.75">
      <c r="A111" s="392">
        <v>10</v>
      </c>
      <c r="B111" s="393"/>
      <c r="C111" s="393" t="s">
        <v>339</v>
      </c>
      <c r="D111" s="394">
        <f>D112+D117</f>
        <v>0</v>
      </c>
      <c r="E111" s="394">
        <f>E112+E117</f>
        <v>0</v>
      </c>
      <c r="F111" s="394">
        <f>F112+F117</f>
        <v>0</v>
      </c>
      <c r="G111" s="395">
        <f>G112+G117</f>
        <v>0</v>
      </c>
    </row>
    <row r="112" spans="1:7" s="396" customFormat="1" ht="12.75">
      <c r="A112" s="397" t="s">
        <v>340</v>
      </c>
      <c r="B112" s="398"/>
      <c r="C112" s="398" t="s">
        <v>341</v>
      </c>
      <c r="D112" s="394">
        <f>D113+D114+D115+D116</f>
        <v>0</v>
      </c>
      <c r="E112" s="394">
        <f>E113+E114+E115+E116</f>
        <v>0</v>
      </c>
      <c r="F112" s="394">
        <f>F113+F114+F115+F116</f>
        <v>0</v>
      </c>
      <c r="G112" s="395">
        <f>G113+G114+G115+G116</f>
        <v>0</v>
      </c>
    </row>
    <row r="113" spans="1:7" s="396" customFormat="1" ht="12.75">
      <c r="A113" s="410" t="s">
        <v>342</v>
      </c>
      <c r="B113" s="411"/>
      <c r="C113" s="411" t="s">
        <v>343</v>
      </c>
      <c r="D113" s="275"/>
      <c r="E113" s="275"/>
      <c r="F113" s="275"/>
      <c r="G113" s="277"/>
    </row>
    <row r="114" spans="1:7" s="406" customFormat="1" ht="15" customHeight="1">
      <c r="A114" s="414">
        <v>102</v>
      </c>
      <c r="B114" s="494"/>
      <c r="C114" s="494" t="s">
        <v>344</v>
      </c>
      <c r="D114" s="344"/>
      <c r="E114" s="344"/>
      <c r="F114" s="344"/>
      <c r="G114" s="495"/>
    </row>
    <row r="115" spans="1:7" s="396" customFormat="1" ht="12.75">
      <c r="A115" s="410">
        <v>104</v>
      </c>
      <c r="B115" s="411"/>
      <c r="C115" s="411" t="s">
        <v>345</v>
      </c>
      <c r="D115" s="275"/>
      <c r="E115" s="275"/>
      <c r="F115" s="275"/>
      <c r="G115" s="277"/>
    </row>
    <row r="116" spans="1:7" s="396" customFormat="1" ht="12.75">
      <c r="A116" s="410">
        <v>106</v>
      </c>
      <c r="B116" s="411"/>
      <c r="C116" s="411" t="s">
        <v>346</v>
      </c>
      <c r="D116" s="275"/>
      <c r="E116" s="275"/>
      <c r="F116" s="275"/>
      <c r="G116" s="277"/>
    </row>
    <row r="117" spans="1:7" s="396" customFormat="1" ht="12.75">
      <c r="A117" s="397" t="s">
        <v>347</v>
      </c>
      <c r="B117" s="398"/>
      <c r="C117" s="398" t="s">
        <v>348</v>
      </c>
      <c r="D117" s="394">
        <f>D118+D119+D120</f>
        <v>0</v>
      </c>
      <c r="E117" s="394">
        <f>E118+E119+E120</f>
        <v>0</v>
      </c>
      <c r="F117" s="394">
        <f>F118+F119+F120</f>
        <v>0</v>
      </c>
      <c r="G117" s="395">
        <f>G118+G119+G120</f>
        <v>0</v>
      </c>
    </row>
    <row r="118" spans="1:7" s="396" customFormat="1" ht="12.75">
      <c r="A118" s="410">
        <v>107</v>
      </c>
      <c r="B118" s="411"/>
      <c r="C118" s="411" t="s">
        <v>349</v>
      </c>
      <c r="D118" s="275"/>
      <c r="E118" s="275"/>
      <c r="F118" s="275"/>
      <c r="G118" s="277"/>
    </row>
    <row r="119" spans="1:7" s="396" customFormat="1" ht="12.75">
      <c r="A119" s="410">
        <v>108</v>
      </c>
      <c r="B119" s="411"/>
      <c r="C119" s="411" t="s">
        <v>350</v>
      </c>
      <c r="D119" s="275"/>
      <c r="E119" s="275"/>
      <c r="F119" s="275"/>
      <c r="G119" s="277"/>
    </row>
    <row r="120" spans="1:7" s="409" customFormat="1" ht="25.5">
      <c r="A120" s="414">
        <v>109</v>
      </c>
      <c r="B120" s="415"/>
      <c r="C120" s="415" t="s">
        <v>351</v>
      </c>
      <c r="D120" s="281"/>
      <c r="E120" s="281"/>
      <c r="F120" s="281"/>
      <c r="G120" s="496"/>
    </row>
    <row r="121" spans="1:7" s="396" customFormat="1" ht="12.75">
      <c r="A121" s="397">
        <v>14</v>
      </c>
      <c r="B121" s="398"/>
      <c r="C121" s="398" t="s">
        <v>352</v>
      </c>
      <c r="D121" s="394">
        <f>SUM(D122:D130)</f>
        <v>0</v>
      </c>
      <c r="E121" s="394">
        <f>SUM(E122:E130)</f>
        <v>0</v>
      </c>
      <c r="F121" s="394">
        <f>SUM(F122:F130)</f>
        <v>0</v>
      </c>
      <c r="G121" s="394">
        <f>SUM(G122:G130)</f>
        <v>0</v>
      </c>
    </row>
    <row r="122" spans="1:7" s="396" customFormat="1" ht="12.75">
      <c r="A122" s="410" t="s">
        <v>353</v>
      </c>
      <c r="B122" s="411"/>
      <c r="C122" s="411" t="s">
        <v>354</v>
      </c>
      <c r="D122" s="275"/>
      <c r="E122" s="275"/>
      <c r="F122" s="275"/>
      <c r="G122" s="277"/>
    </row>
    <row r="123" spans="1:7" s="396" customFormat="1" ht="12.75">
      <c r="A123" s="410">
        <v>144</v>
      </c>
      <c r="B123" s="411"/>
      <c r="C123" s="411" t="s">
        <v>312</v>
      </c>
      <c r="D123" s="275"/>
      <c r="E123" s="275"/>
      <c r="F123" s="275"/>
      <c r="G123" s="277"/>
    </row>
    <row r="124" spans="1:7" s="396" customFormat="1" ht="12.75">
      <c r="A124" s="410">
        <v>145</v>
      </c>
      <c r="B124" s="411"/>
      <c r="C124" s="411" t="s">
        <v>355</v>
      </c>
      <c r="D124" s="275"/>
      <c r="E124" s="412"/>
      <c r="F124" s="275"/>
      <c r="G124" s="413"/>
    </row>
    <row r="125" spans="1:7" s="396" customFormat="1" ht="12.75">
      <c r="A125" s="410">
        <v>146</v>
      </c>
      <c r="B125" s="411"/>
      <c r="C125" s="411" t="s">
        <v>356</v>
      </c>
      <c r="D125" s="275"/>
      <c r="E125" s="412"/>
      <c r="F125" s="275"/>
      <c r="G125" s="413"/>
    </row>
    <row r="126" spans="1:7" s="409" customFormat="1" ht="29.25" customHeight="1">
      <c r="A126" s="414" t="s">
        <v>357</v>
      </c>
      <c r="B126" s="415"/>
      <c r="C126" s="415" t="s">
        <v>358</v>
      </c>
      <c r="D126" s="281"/>
      <c r="E126" s="416"/>
      <c r="F126" s="281"/>
      <c r="G126" s="417"/>
    </row>
    <row r="127" spans="1:7" s="396" customFormat="1" ht="12.75">
      <c r="A127" s="410">
        <v>1484</v>
      </c>
      <c r="B127" s="411"/>
      <c r="C127" s="411" t="s">
        <v>359</v>
      </c>
      <c r="D127" s="275"/>
      <c r="E127" s="412"/>
      <c r="F127" s="275"/>
      <c r="G127" s="413"/>
    </row>
    <row r="128" spans="1:7" s="396" customFormat="1" ht="12.75">
      <c r="A128" s="410">
        <v>1485</v>
      </c>
      <c r="B128" s="411"/>
      <c r="C128" s="411" t="s">
        <v>360</v>
      </c>
      <c r="D128" s="275"/>
      <c r="E128" s="412"/>
      <c r="F128" s="275"/>
      <c r="G128" s="413"/>
    </row>
    <row r="129" spans="1:7" s="396" customFormat="1" ht="12.75">
      <c r="A129" s="410">
        <v>1486</v>
      </c>
      <c r="B129" s="411"/>
      <c r="C129" s="411" t="s">
        <v>361</v>
      </c>
      <c r="D129" s="275"/>
      <c r="E129" s="412"/>
      <c r="F129" s="275"/>
      <c r="G129" s="413"/>
    </row>
    <row r="130" spans="1:7" s="396" customFormat="1" ht="12.75">
      <c r="A130" s="418">
        <v>1489</v>
      </c>
      <c r="B130" s="419"/>
      <c r="C130" s="419" t="s">
        <v>362</v>
      </c>
      <c r="D130" s="306"/>
      <c r="E130" s="420"/>
      <c r="F130" s="306"/>
      <c r="G130" s="421"/>
    </row>
    <row r="131" spans="1:7" s="250" customFormat="1" ht="12.75">
      <c r="A131" s="422">
        <v>1</v>
      </c>
      <c r="B131" s="423"/>
      <c r="C131" s="422" t="s">
        <v>363</v>
      </c>
      <c r="D131" s="424">
        <f>D111+D121</f>
        <v>0</v>
      </c>
      <c r="E131" s="424">
        <f>E111+E121</f>
        <v>0</v>
      </c>
      <c r="F131" s="424">
        <f>F111+F121</f>
        <v>0</v>
      </c>
      <c r="G131" s="424">
        <f>G111+G121</f>
        <v>0</v>
      </c>
    </row>
    <row r="132" spans="1:7" s="250" customFormat="1" ht="12.75">
      <c r="A132" s="362"/>
      <c r="B132" s="362"/>
      <c r="C132" s="363"/>
      <c r="D132" s="364"/>
      <c r="E132" s="364"/>
      <c r="F132" s="364"/>
      <c r="G132" s="364"/>
    </row>
    <row r="133" spans="1:7" s="396" customFormat="1" ht="12.75">
      <c r="A133" s="392">
        <v>20</v>
      </c>
      <c r="B133" s="393"/>
      <c r="C133" s="393" t="s">
        <v>364</v>
      </c>
      <c r="D133" s="425">
        <f>D134+D140</f>
        <v>0</v>
      </c>
      <c r="E133" s="425">
        <f>E134+E140</f>
        <v>0</v>
      </c>
      <c r="F133" s="425">
        <f>F134+F140</f>
        <v>0</v>
      </c>
      <c r="G133" s="426">
        <f>G134+G140</f>
        <v>0</v>
      </c>
    </row>
    <row r="134" spans="1:7" s="396" customFormat="1" ht="12.75">
      <c r="A134" s="427" t="s">
        <v>365</v>
      </c>
      <c r="B134" s="398"/>
      <c r="C134" s="398" t="s">
        <v>366</v>
      </c>
      <c r="D134" s="394">
        <f>D135+D136+D138+D139</f>
        <v>0</v>
      </c>
      <c r="E134" s="394">
        <f>E135+E136+E138+E139</f>
        <v>0</v>
      </c>
      <c r="F134" s="394">
        <f>F135+F136+F138+F139</f>
        <v>0</v>
      </c>
      <c r="G134" s="395">
        <f>G135+G136+G138+G139</f>
        <v>0</v>
      </c>
    </row>
    <row r="135" spans="1:7" s="429" customFormat="1" ht="12.75">
      <c r="A135" s="428">
        <v>200</v>
      </c>
      <c r="B135" s="411"/>
      <c r="C135" s="411" t="s">
        <v>367</v>
      </c>
      <c r="D135" s="275"/>
      <c r="E135" s="275"/>
      <c r="F135" s="275"/>
      <c r="G135" s="277"/>
    </row>
    <row r="136" spans="1:7" s="429" customFormat="1" ht="12.75">
      <c r="A136" s="428">
        <v>201</v>
      </c>
      <c r="B136" s="411"/>
      <c r="C136" s="411" t="s">
        <v>368</v>
      </c>
      <c r="D136" s="275"/>
      <c r="E136" s="275"/>
      <c r="F136" s="275"/>
      <c r="G136" s="277"/>
    </row>
    <row r="137" spans="1:7" s="429" customFormat="1" ht="12.75">
      <c r="A137" s="430" t="s">
        <v>369</v>
      </c>
      <c r="B137" s="400"/>
      <c r="C137" s="400" t="s">
        <v>370</v>
      </c>
      <c r="D137" s="271"/>
      <c r="E137" s="431"/>
      <c r="F137" s="271"/>
      <c r="G137" s="432"/>
    </row>
    <row r="138" spans="1:7" s="429" customFormat="1" ht="12.75">
      <c r="A138" s="428">
        <v>204</v>
      </c>
      <c r="B138" s="411"/>
      <c r="C138" s="411" t="s">
        <v>371</v>
      </c>
      <c r="D138" s="275"/>
      <c r="E138" s="412"/>
      <c r="F138" s="275"/>
      <c r="G138" s="413"/>
    </row>
    <row r="139" spans="1:7" s="429" customFormat="1" ht="12.75">
      <c r="A139" s="428">
        <v>205</v>
      </c>
      <c r="B139" s="411"/>
      <c r="C139" s="411" t="s">
        <v>372</v>
      </c>
      <c r="D139" s="275"/>
      <c r="E139" s="412"/>
      <c r="F139" s="275"/>
      <c r="G139" s="413"/>
    </row>
    <row r="140" spans="1:7" s="429" customFormat="1" ht="12.75">
      <c r="A140" s="427" t="s">
        <v>373</v>
      </c>
      <c r="B140" s="398"/>
      <c r="C140" s="398" t="s">
        <v>374</v>
      </c>
      <c r="D140" s="394">
        <f>D141+D143+D144</f>
        <v>0</v>
      </c>
      <c r="E140" s="394">
        <f>E141+E143+E144</f>
        <v>0</v>
      </c>
      <c r="F140" s="394">
        <f>F141+F143+F144</f>
        <v>0</v>
      </c>
      <c r="G140" s="395">
        <f>G141+G143+G144</f>
        <v>0</v>
      </c>
    </row>
    <row r="141" spans="1:7" s="429" customFormat="1" ht="12.75">
      <c r="A141" s="428">
        <v>206</v>
      </c>
      <c r="B141" s="411"/>
      <c r="C141" s="411" t="s">
        <v>375</v>
      </c>
      <c r="D141" s="275"/>
      <c r="E141" s="412"/>
      <c r="F141" s="275"/>
      <c r="G141" s="413"/>
    </row>
    <row r="142" spans="1:7" s="429" customFormat="1" ht="12.75">
      <c r="A142" s="430" t="s">
        <v>376</v>
      </c>
      <c r="B142" s="400"/>
      <c r="C142" s="400" t="s">
        <v>377</v>
      </c>
      <c r="D142" s="271"/>
      <c r="E142" s="271"/>
      <c r="F142" s="271"/>
      <c r="G142" s="401"/>
    </row>
    <row r="143" spans="1:8" s="429" customFormat="1" ht="12.75">
      <c r="A143" s="428">
        <v>208</v>
      </c>
      <c r="B143" s="411"/>
      <c r="C143" s="411" t="s">
        <v>378</v>
      </c>
      <c r="D143" s="275"/>
      <c r="E143" s="275"/>
      <c r="F143" s="275"/>
      <c r="G143" s="277"/>
      <c r="H143" s="396"/>
    </row>
    <row r="144" spans="1:8" s="433" customFormat="1" ht="25.5">
      <c r="A144" s="414">
        <v>209</v>
      </c>
      <c r="B144" s="415"/>
      <c r="C144" s="415" t="s">
        <v>379</v>
      </c>
      <c r="D144" s="281"/>
      <c r="E144" s="281"/>
      <c r="F144" s="281"/>
      <c r="G144" s="496"/>
      <c r="H144" s="409"/>
    </row>
    <row r="145" spans="1:7" s="396" customFormat="1" ht="12.75">
      <c r="A145" s="427">
        <v>29</v>
      </c>
      <c r="B145" s="398"/>
      <c r="C145" s="398" t="s">
        <v>380</v>
      </c>
      <c r="D145" s="412"/>
      <c r="E145" s="412"/>
      <c r="F145" s="412"/>
      <c r="G145" s="413"/>
    </row>
    <row r="146" spans="1:7" s="396" customFormat="1" ht="12.75">
      <c r="A146" s="434" t="s">
        <v>381</v>
      </c>
      <c r="B146" s="435"/>
      <c r="C146" s="435" t="s">
        <v>382</v>
      </c>
      <c r="D146" s="332"/>
      <c r="E146" s="332"/>
      <c r="F146" s="332"/>
      <c r="G146" s="436"/>
    </row>
    <row r="147" spans="1:7" s="250" customFormat="1" ht="12.75">
      <c r="A147" s="422">
        <v>2</v>
      </c>
      <c r="B147" s="423"/>
      <c r="C147" s="422" t="s">
        <v>383</v>
      </c>
      <c r="D147" s="424">
        <f>D133+D145</f>
        <v>0</v>
      </c>
      <c r="E147" s="424">
        <f>E133+E145</f>
        <v>0</v>
      </c>
      <c r="F147" s="424">
        <f>F133+F145</f>
        <v>0</v>
      </c>
      <c r="G147" s="424">
        <f>G133+G145</f>
        <v>0</v>
      </c>
    </row>
    <row r="148" spans="4:6" ht="7.5" customHeight="1">
      <c r="D148" s="250"/>
      <c r="F148" s="250"/>
    </row>
    <row r="149" spans="1:7" ht="13.5" customHeight="1">
      <c r="A149" s="437" t="s">
        <v>384</v>
      </c>
      <c r="B149" s="438"/>
      <c r="C149" s="439" t="s">
        <v>385</v>
      </c>
      <c r="D149" s="438"/>
      <c r="E149" s="438"/>
      <c r="F149" s="438"/>
      <c r="G149" s="438"/>
    </row>
    <row r="150" spans="1:7" ht="12.75">
      <c r="A150" s="509" t="s">
        <v>386</v>
      </c>
      <c r="B150" s="509"/>
      <c r="C150" s="509" t="s">
        <v>97</v>
      </c>
      <c r="D150" s="442">
        <f>D77+SUM(D8:D12)-D30-D31+D16-D33+D59+D63-D73+D64-D74-D54+D20-D35</f>
        <v>0</v>
      </c>
      <c r="E150" s="442">
        <f>E77+SUM(E8:E12)-E30-E31+E16-E33+E59+E63-E73+E64-E74-E54+E20-E35</f>
        <v>0</v>
      </c>
      <c r="F150" s="442">
        <f>F77+SUM(F8:F12)-F30-F31+F16-F33+F59+F63-F73+F64-F74-F54+F20-F35</f>
        <v>0</v>
      </c>
      <c r="G150" s="442">
        <f>G77+SUM(G8:G12)-G30-G31+G16-G33+G59+G63-G73+G64-G74-G54+G20-G35</f>
        <v>10228.400000000052</v>
      </c>
    </row>
    <row r="151" spans="1:7" ht="12.75">
      <c r="A151" s="510" t="s">
        <v>387</v>
      </c>
      <c r="B151" s="510"/>
      <c r="C151" s="510" t="s">
        <v>388</v>
      </c>
      <c r="D151" s="445">
        <f>IF(D177=0,0,D150/D177)</f>
        <v>0</v>
      </c>
      <c r="E151" s="445">
        <f>IF(E177=0,0,E150/E177)</f>
        <v>0</v>
      </c>
      <c r="F151" s="445">
        <f>IF(F177=0,0,F150/F177)</f>
        <v>0</v>
      </c>
      <c r="G151" s="445">
        <f>IF(G177=0,0,G150/G177)</f>
        <v>0.028228899046994674</v>
      </c>
    </row>
    <row r="152" spans="1:7" s="328" customFormat="1" ht="25.5">
      <c r="A152" s="511" t="s">
        <v>389</v>
      </c>
      <c r="B152" s="511"/>
      <c r="C152" s="511" t="s">
        <v>390</v>
      </c>
      <c r="D152" s="504">
        <f>IF(IF(D107=0,0,D$150/D107)&lt;0,"negativ",(IF(D107=0,0,D$150/D107)))</f>
        <v>0</v>
      </c>
      <c r="E152" s="504">
        <f>IF(IF(E107=0,0,E$150/E107)&lt;0,"negativ",(IF(E107=0,0,E$150/E107)))</f>
        <v>0</v>
      </c>
      <c r="F152" s="504">
        <f>IF(IF(F107=0,0,F$150/F107)&lt;0,"negativ",(IF(F107=0,0,F$150/F107)))</f>
        <v>0</v>
      </c>
      <c r="G152" s="504">
        <f>IF(IF(G107=0,0,G$150/G107)&lt;0,"negativ",(IF(G107=0,0,G$150/G107)))</f>
        <v>0.2610650978190138</v>
      </c>
    </row>
    <row r="153" spans="1:7" s="328" customFormat="1" ht="25.5">
      <c r="A153" s="512" t="s">
        <v>389</v>
      </c>
      <c r="B153" s="512"/>
      <c r="C153" s="512" t="s">
        <v>391</v>
      </c>
      <c r="D153" s="507">
        <f>IF(IF(D108=0,0,D$150/D108)&lt;0,"negativ",(IF(D108=0,0,D$150/D108)))</f>
        <v>0</v>
      </c>
      <c r="E153" s="507">
        <f>IF(IF(E108=0,0,E$150/E108)&lt;0,"negativ",(IF(E108=0,0,E$150/E108)))</f>
        <v>0</v>
      </c>
      <c r="F153" s="507">
        <f>IF(IF(F108=0,0,F$150/F108)&lt;0,"negativ",(IF(F108=0,0,F$150/F108)))</f>
        <v>0</v>
      </c>
      <c r="G153" s="507">
        <f>IF(IF(G108=0,0,G$150/G108)&lt;0,"negativ",(IF(G108=0,0,G$150/G108)))</f>
        <v>0.26113174791610955</v>
      </c>
    </row>
    <row r="154" spans="1:7" ht="25.5">
      <c r="A154" s="513" t="s">
        <v>392</v>
      </c>
      <c r="B154" s="513"/>
      <c r="C154" s="513" t="s">
        <v>393</v>
      </c>
      <c r="D154" s="455">
        <f>D150-D107</f>
        <v>0</v>
      </c>
      <c r="E154" s="455">
        <f>E150-E107</f>
        <v>0</v>
      </c>
      <c r="F154" s="455">
        <f>F150-F107</f>
        <v>0</v>
      </c>
      <c r="G154" s="455">
        <f>G150-G107</f>
        <v>-28951.099999999948</v>
      </c>
    </row>
    <row r="155" spans="1:7" ht="25.5">
      <c r="A155" s="512" t="s">
        <v>394</v>
      </c>
      <c r="B155" s="512"/>
      <c r="C155" s="512" t="s">
        <v>395</v>
      </c>
      <c r="D155" s="456">
        <f>D150-D108</f>
        <v>0</v>
      </c>
      <c r="E155" s="456">
        <f>E150-E108</f>
        <v>0</v>
      </c>
      <c r="F155" s="456">
        <f>F150-F108</f>
        <v>0</v>
      </c>
      <c r="G155" s="456">
        <f>G150-G108</f>
        <v>-28941.099999999948</v>
      </c>
    </row>
    <row r="156" spans="1:7" ht="12.75">
      <c r="A156" s="509" t="s">
        <v>396</v>
      </c>
      <c r="B156" s="509"/>
      <c r="C156" s="509" t="s">
        <v>397</v>
      </c>
      <c r="D156" s="457">
        <f>D135+D136-D137+D141-D142</f>
        <v>0</v>
      </c>
      <c r="E156" s="457">
        <f>E135+E136-E137+E141-E142</f>
        <v>0</v>
      </c>
      <c r="F156" s="457">
        <f>F135+F136-F137+F141-F142</f>
        <v>0</v>
      </c>
      <c r="G156" s="457">
        <f>G135+G136-G137+G141-G142</f>
        <v>0</v>
      </c>
    </row>
    <row r="157" spans="1:7" ht="12.75">
      <c r="A157" s="514" t="s">
        <v>398</v>
      </c>
      <c r="B157" s="514"/>
      <c r="C157" s="514" t="s">
        <v>399</v>
      </c>
      <c r="D157" s="460">
        <f>IF(D177=0,0,D156/D177)</f>
        <v>0</v>
      </c>
      <c r="E157" s="460">
        <f>IF(E177=0,0,E156/E177)</f>
        <v>0</v>
      </c>
      <c r="F157" s="460">
        <f>IF(F177=0,0,F156/F177)</f>
        <v>0</v>
      </c>
      <c r="G157" s="460">
        <f>IF(G177=0,0,G156/G177)</f>
        <v>0</v>
      </c>
    </row>
    <row r="158" spans="1:7" ht="12.75">
      <c r="A158" s="509" t="s">
        <v>400</v>
      </c>
      <c r="B158" s="509"/>
      <c r="C158" s="509" t="s">
        <v>401</v>
      </c>
      <c r="D158" s="457">
        <f>D133-D142-D111</f>
        <v>0</v>
      </c>
      <c r="E158" s="457">
        <f>E133-E142-E111</f>
        <v>0</v>
      </c>
      <c r="F158" s="457">
        <f>F133-F142-F111</f>
        <v>0</v>
      </c>
      <c r="G158" s="457">
        <f>G133-G142-G111</f>
        <v>0</v>
      </c>
    </row>
    <row r="159" spans="1:7" ht="12.75">
      <c r="A159" s="510" t="s">
        <v>402</v>
      </c>
      <c r="B159" s="510"/>
      <c r="C159" s="510" t="s">
        <v>403</v>
      </c>
      <c r="D159" s="461">
        <f>D121-D123-D124-D142-D145</f>
        <v>0</v>
      </c>
      <c r="E159" s="461">
        <f>E121-E123-E124-E142-E145</f>
        <v>0</v>
      </c>
      <c r="F159" s="461">
        <f>F121-F123-F124-F142-F145</f>
        <v>0</v>
      </c>
      <c r="G159" s="461">
        <f>G121-G123-G124-G142-G145</f>
        <v>0</v>
      </c>
    </row>
    <row r="160" spans="1:7" ht="12.75">
      <c r="A160" s="510" t="s">
        <v>404</v>
      </c>
      <c r="B160" s="510"/>
      <c r="C160" s="510" t="s">
        <v>405</v>
      </c>
      <c r="D160" s="462" t="str">
        <f>IF(D175=0,"-",1000*D158/D175)</f>
        <v>-</v>
      </c>
      <c r="E160" s="462" t="str">
        <f>IF(E175=0,"-",1000*E158/E175)</f>
        <v>-</v>
      </c>
      <c r="F160" s="462" t="str">
        <f>IF(F175=0,"-",1000*F158/F175)</f>
        <v>-</v>
      </c>
      <c r="G160" s="462">
        <f>IF(G175=0,"-",1000*G158/G175)</f>
        <v>0</v>
      </c>
    </row>
    <row r="161" spans="1:7" ht="12.75">
      <c r="A161" s="510" t="s">
        <v>404</v>
      </c>
      <c r="B161" s="510"/>
      <c r="C161" s="510" t="s">
        <v>406</v>
      </c>
      <c r="D161" s="461">
        <f>IF(D175=0,0,1000*(D159/D175))</f>
        <v>0</v>
      </c>
      <c r="E161" s="461">
        <f>IF(E175=0,0,1000*(E159/E175))</f>
        <v>0</v>
      </c>
      <c r="F161" s="461">
        <f>IF(F175=0,0,1000*(F159/F175))</f>
        <v>0</v>
      </c>
      <c r="G161" s="461">
        <f>IF(G175=0,0,1000*(G159/G175))</f>
        <v>0</v>
      </c>
    </row>
    <row r="162" spans="1:7" ht="12.75">
      <c r="A162" s="514" t="s">
        <v>407</v>
      </c>
      <c r="B162" s="514"/>
      <c r="C162" s="514" t="s">
        <v>408</v>
      </c>
      <c r="D162" s="460">
        <f>IF((D22+D23+D65+D66)=0,0,D158/(D22+D23+D65+D66))</f>
        <v>0</v>
      </c>
      <c r="E162" s="460">
        <f>IF((E22+E23+E65+E66)=0,0,E158/(E22+E23+E65+E66))</f>
        <v>0</v>
      </c>
      <c r="F162" s="460">
        <f>IF((F22+F23+F65+F66)=0,0,F158/(F22+F23+F65+F66))</f>
        <v>0</v>
      </c>
      <c r="G162" s="460">
        <f>IF((G22+G23+G65+G66)=0,0,G158/(G22+G23+G65+G66))</f>
        <v>0</v>
      </c>
    </row>
    <row r="163" spans="1:7" ht="12.75">
      <c r="A163" s="510" t="s">
        <v>409</v>
      </c>
      <c r="B163" s="510"/>
      <c r="C163" s="510" t="s">
        <v>380</v>
      </c>
      <c r="D163" s="442">
        <f>D145</f>
        <v>0</v>
      </c>
      <c r="E163" s="442">
        <f>E145</f>
        <v>0</v>
      </c>
      <c r="F163" s="442">
        <f>F145</f>
        <v>0</v>
      </c>
      <c r="G163" s="442">
        <f>G145</f>
        <v>0</v>
      </c>
    </row>
    <row r="164" spans="1:7" ht="25.5">
      <c r="A164" s="512" t="s">
        <v>411</v>
      </c>
      <c r="B164" s="514"/>
      <c r="C164" s="514" t="s">
        <v>412</v>
      </c>
      <c r="D164" s="452">
        <f>IF(D178=0,0,D146/D178)</f>
        <v>0</v>
      </c>
      <c r="E164" s="452">
        <f>IF(E178=0,0,E146/E178)</f>
        <v>0</v>
      </c>
      <c r="F164" s="452">
        <f>IF(F178=0,0,F146/F178)</f>
        <v>0</v>
      </c>
      <c r="G164" s="452">
        <f>IF(G178=0,0,G146/G178)</f>
        <v>0</v>
      </c>
    </row>
    <row r="165" spans="1:7" ht="12.75">
      <c r="A165" s="515" t="s">
        <v>681</v>
      </c>
      <c r="B165" s="515"/>
      <c r="C165" s="515" t="s">
        <v>414</v>
      </c>
      <c r="D165" s="465">
        <f>IF(D177=0,0,D180/D177)</f>
        <v>0</v>
      </c>
      <c r="E165" s="465">
        <f>IF(E177=0,0,E180/E177)</f>
        <v>0</v>
      </c>
      <c r="F165" s="465">
        <f>IF(F177=0,0,F180/F177)</f>
        <v>0</v>
      </c>
      <c r="G165" s="465">
        <f>IF(G177=0,0,G180/G177)</f>
        <v>0.08172123313625208</v>
      </c>
    </row>
    <row r="166" spans="1:7" ht="12.75">
      <c r="A166" s="510" t="s">
        <v>415</v>
      </c>
      <c r="B166" s="510"/>
      <c r="C166" s="510" t="s">
        <v>282</v>
      </c>
      <c r="D166" s="442">
        <f>D55</f>
        <v>0</v>
      </c>
      <c r="E166" s="442">
        <f>E55</f>
        <v>0</v>
      </c>
      <c r="F166" s="442">
        <f>F55</f>
        <v>0</v>
      </c>
      <c r="G166" s="442">
        <f>G55</f>
        <v>13318.5</v>
      </c>
    </row>
    <row r="167" spans="1:7" ht="12.75">
      <c r="A167" s="514" t="s">
        <v>416</v>
      </c>
      <c r="B167" s="514"/>
      <c r="C167" s="514" t="s">
        <v>417</v>
      </c>
      <c r="D167" s="460">
        <f>IF(0=D111,0,(D44+D45+D46+D47+D48)/D111)</f>
        <v>0</v>
      </c>
      <c r="E167" s="460">
        <f>IF(0=E111,0,(E44+E45+E46+E47+E48)/E111)</f>
        <v>0</v>
      </c>
      <c r="F167" s="460">
        <f>IF(0=F111,0,(F44+F45+F46+F47+F48)/F111)</f>
        <v>0</v>
      </c>
      <c r="G167" s="460">
        <f>IF(0=G111,0,(G44+G45+G46+G47+G48)/G111)</f>
        <v>0</v>
      </c>
    </row>
    <row r="168" spans="1:7" ht="12.75">
      <c r="A168" s="510" t="s">
        <v>418</v>
      </c>
      <c r="B168" s="509"/>
      <c r="C168" s="509" t="s">
        <v>419</v>
      </c>
      <c r="D168" s="442">
        <f>D38-D44</f>
        <v>0</v>
      </c>
      <c r="E168" s="442">
        <f>E38-E44</f>
        <v>0</v>
      </c>
      <c r="F168" s="442">
        <f>F38-F44</f>
        <v>0</v>
      </c>
      <c r="G168" s="442">
        <f>G38-G44</f>
        <v>-323.4000000000001</v>
      </c>
    </row>
    <row r="169" spans="1:7" ht="12.75">
      <c r="A169" s="514" t="s">
        <v>420</v>
      </c>
      <c r="B169" s="514"/>
      <c r="C169" s="514" t="s">
        <v>421</v>
      </c>
      <c r="D169" s="445">
        <f>IF(D177=0,0,D168/D177)</f>
        <v>0</v>
      </c>
      <c r="E169" s="445">
        <f>IF(E177=0,0,E168/E177)</f>
        <v>0</v>
      </c>
      <c r="F169" s="445">
        <f>IF(F177=0,0,F168/F177)</f>
        <v>0</v>
      </c>
      <c r="G169" s="445">
        <f>IF(G177=0,0,G168/G177)</f>
        <v>-0.0008925370489810756</v>
      </c>
    </row>
    <row r="170" spans="1:7" ht="12.75">
      <c r="A170" s="510" t="s">
        <v>422</v>
      </c>
      <c r="B170" s="510"/>
      <c r="C170" s="510" t="s">
        <v>423</v>
      </c>
      <c r="D170" s="442">
        <f>SUM(D82:D87)+SUM(D89:D94)</f>
        <v>0</v>
      </c>
      <c r="E170" s="442">
        <f>SUM(E82:E87)+SUM(E89:E94)</f>
        <v>0</v>
      </c>
      <c r="F170" s="442">
        <f>SUM(F82:F87)+SUM(F89:F94)</f>
        <v>0</v>
      </c>
      <c r="G170" s="442">
        <f>SUM(G82:G87)+SUM(G89:G94)</f>
        <v>47449.5</v>
      </c>
    </row>
    <row r="171" spans="1:7" ht="12.75">
      <c r="A171" s="510" t="s">
        <v>424</v>
      </c>
      <c r="B171" s="510"/>
      <c r="C171" s="510" t="s">
        <v>425</v>
      </c>
      <c r="D171" s="461">
        <f>SUM(D96:D102)+SUM(D104:D105)</f>
        <v>0</v>
      </c>
      <c r="E171" s="461">
        <f>SUM(E96:E102)+SUM(E104:E105)</f>
        <v>0</v>
      </c>
      <c r="F171" s="461">
        <f>SUM(F96:F102)+SUM(F104:F105)</f>
        <v>0</v>
      </c>
      <c r="G171" s="461">
        <f>SUM(G96:G102)+SUM(G104:G105)</f>
        <v>8270</v>
      </c>
    </row>
    <row r="172" spans="1:7" ht="12.75">
      <c r="A172" s="515" t="s">
        <v>413</v>
      </c>
      <c r="B172" s="515"/>
      <c r="C172" s="515" t="s">
        <v>426</v>
      </c>
      <c r="D172" s="465">
        <f>IF(D184=0,0,D170/D184)</f>
        <v>0</v>
      </c>
      <c r="E172" s="465">
        <f>IF(E184=0,0,E170/E184)</f>
        <v>0</v>
      </c>
      <c r="F172" s="465">
        <f>IF(F184=0,0,F170/F184)</f>
        <v>0</v>
      </c>
      <c r="G172" s="465">
        <f>IF(G184=0,0,G170/G184)</f>
        <v>0.11971196165947504</v>
      </c>
    </row>
    <row r="174" spans="1:7" ht="12.75">
      <c r="A174" s="467" t="s">
        <v>427</v>
      </c>
      <c r="B174" s="468"/>
      <c r="C174" s="467"/>
      <c r="D174" s="364"/>
      <c r="E174" s="364"/>
      <c r="F174" s="364"/>
      <c r="G174" s="364"/>
    </row>
    <row r="175" spans="1:7" s="260" customFormat="1" ht="12.75">
      <c r="A175" s="468" t="s">
        <v>428</v>
      </c>
      <c r="B175" s="468"/>
      <c r="C175" s="468" t="s">
        <v>455</v>
      </c>
      <c r="D175" s="470"/>
      <c r="E175" s="470"/>
      <c r="F175" s="470"/>
      <c r="G175" s="472">
        <v>193388</v>
      </c>
    </row>
    <row r="176" spans="1:7" ht="12.75">
      <c r="A176" s="467" t="s">
        <v>430</v>
      </c>
      <c r="B176" s="468"/>
      <c r="C176" s="468"/>
      <c r="D176" s="468"/>
      <c r="E176" s="468"/>
      <c r="F176" s="468"/>
      <c r="G176" s="468"/>
    </row>
    <row r="177" spans="1:7" ht="12.75">
      <c r="A177" s="468" t="s">
        <v>431</v>
      </c>
      <c r="B177" s="468"/>
      <c r="C177" s="468" t="s">
        <v>432</v>
      </c>
      <c r="D177" s="472">
        <f>SUM(D22:D32)+SUM(D44:D53)+SUM(D65:D72)+D75</f>
        <v>0</v>
      </c>
      <c r="E177" s="472">
        <f>SUM(E22:E32)+SUM(E44:E53)+SUM(E65:E72)+E75</f>
        <v>0</v>
      </c>
      <c r="F177" s="472">
        <f>SUM(F22:F32)+SUM(F44:F53)+SUM(F65:F72)+F75</f>
        <v>0</v>
      </c>
      <c r="G177" s="472">
        <f>SUM(G22:G32)+SUM(G44:G53)+SUM(G65:G72)+G75</f>
        <v>362337.9</v>
      </c>
    </row>
    <row r="178" spans="1:7" ht="12.75">
      <c r="A178" s="468" t="s">
        <v>433</v>
      </c>
      <c r="B178" s="468"/>
      <c r="C178" s="468" t="s">
        <v>434</v>
      </c>
      <c r="D178" s="472">
        <f>D78-D17-D20-D59-D63-D64</f>
        <v>0</v>
      </c>
      <c r="E178" s="472">
        <f>E78-E17-E20-E59-E63-E64</f>
        <v>0</v>
      </c>
      <c r="F178" s="472">
        <f>F78-F17-F20-F59-F63-F64</f>
        <v>0</v>
      </c>
      <c r="G178" s="472">
        <f>G78-G17-G20-G59-G63-G64</f>
        <v>379557.89999999997</v>
      </c>
    </row>
    <row r="179" spans="1:7" ht="12.75">
      <c r="A179" s="468"/>
      <c r="B179" s="468"/>
      <c r="C179" s="468" t="s">
        <v>435</v>
      </c>
      <c r="D179" s="472">
        <f>D178+D170</f>
        <v>0</v>
      </c>
      <c r="E179" s="472">
        <f>E178+E170</f>
        <v>0</v>
      </c>
      <c r="F179" s="472">
        <f>F178+F170</f>
        <v>0</v>
      </c>
      <c r="G179" s="472">
        <f>G178+G170</f>
        <v>427007.39999999997</v>
      </c>
    </row>
    <row r="180" spans="1:7" ht="12.75">
      <c r="A180" s="468" t="s">
        <v>436</v>
      </c>
      <c r="B180" s="468"/>
      <c r="C180" s="468" t="s">
        <v>437</v>
      </c>
      <c r="D180" s="472">
        <f>D38-D44+D8+D9+D10+D16-D33</f>
        <v>0</v>
      </c>
      <c r="E180" s="472">
        <f>E38-E44+E8+E9+E10+E16-E33</f>
        <v>0</v>
      </c>
      <c r="F180" s="472">
        <f>F38-F44+F8+F9+F10+F16-F33</f>
        <v>0</v>
      </c>
      <c r="G180" s="472">
        <f>G38-G44+G8+G9+G10+G16-G33</f>
        <v>29610.699999999997</v>
      </c>
    </row>
    <row r="181" spans="1:7" ht="27" customHeight="1">
      <c r="A181" s="473" t="s">
        <v>438</v>
      </c>
      <c r="B181" s="474"/>
      <c r="C181" s="474" t="s">
        <v>439</v>
      </c>
      <c r="D181" s="475">
        <f>D22+D23+D24+D25+D26+D29+SUM(D44:D47)+SUM(D49:D53)-D54+D32-D33+SUM(D65:D70)+D72</f>
        <v>0</v>
      </c>
      <c r="E181" s="475">
        <f>E22+E23+E24+E25+E26+E29+SUM(E44:E47)+SUM(E49:E53)-E54+E32-E33+SUM(E65:E70)+E72</f>
        <v>0</v>
      </c>
      <c r="F181" s="475">
        <f>F22+F23+F24+F25+F26+F29+SUM(F44:F47)+SUM(F49:F53)-F54+F32-F33+SUM(F65:F70)+F72</f>
        <v>0</v>
      </c>
      <c r="G181" s="475">
        <f>G22+G23+G24+G25+G26+G29+SUM(G44:G47)+SUM(G49:G53)-G54+G32-G33+SUM(G65:G70)+G72</f>
        <v>355012.80000000005</v>
      </c>
    </row>
    <row r="182" spans="1:7" ht="12.75">
      <c r="A182" s="474" t="s">
        <v>440</v>
      </c>
      <c r="B182" s="474"/>
      <c r="C182" s="474" t="s">
        <v>441</v>
      </c>
      <c r="D182" s="475">
        <f>D181+D171</f>
        <v>0</v>
      </c>
      <c r="E182" s="475">
        <f>E181+E171</f>
        <v>0</v>
      </c>
      <c r="F182" s="475">
        <f>F181+F171</f>
        <v>0</v>
      </c>
      <c r="G182" s="475">
        <f>G181+G171</f>
        <v>363282.80000000005</v>
      </c>
    </row>
    <row r="183" spans="1:7" ht="12.75">
      <c r="A183" s="474" t="s">
        <v>442</v>
      </c>
      <c r="B183" s="474"/>
      <c r="C183" s="474" t="s">
        <v>443</v>
      </c>
      <c r="D183" s="475">
        <f>D4+D5-D7+D38+D39+D40+D41+D43+D13-D16+D57+D58+D60+D61+D62</f>
        <v>0</v>
      </c>
      <c r="E183" s="475">
        <f>E4+E5-E7+E38+E39+E40+E41+E43+E13-E16+E57+E58+E60+E61+E62</f>
        <v>0</v>
      </c>
      <c r="F183" s="475">
        <f>F4+F5-F7+F38+F39+F40+F41+F43+F13-F16+F57+F58+F60+F61+F62</f>
        <v>0</v>
      </c>
      <c r="G183" s="475">
        <f>G4+G5-G7+G38+G39+G40+G41+G43+G13-G16+G57+G58+G60+G61+G62</f>
        <v>348914.4</v>
      </c>
    </row>
    <row r="184" spans="1:7" ht="12.75">
      <c r="A184" s="474" t="s">
        <v>444</v>
      </c>
      <c r="B184" s="474"/>
      <c r="C184" s="474" t="s">
        <v>445</v>
      </c>
      <c r="D184" s="475">
        <f>D183+D170</f>
        <v>0</v>
      </c>
      <c r="E184" s="475">
        <f>E183+E170</f>
        <v>0</v>
      </c>
      <c r="F184" s="475">
        <f>F183+F170</f>
        <v>0</v>
      </c>
      <c r="G184" s="475">
        <f>G183+G170</f>
        <v>396363.9</v>
      </c>
    </row>
    <row r="185" spans="1:7" ht="12.75">
      <c r="A185" s="474"/>
      <c r="B185" s="474"/>
      <c r="C185" s="474" t="s">
        <v>446</v>
      </c>
      <c r="D185" s="475">
        <f aca="true" t="shared" si="0" ref="D185:G186">D181-D183</f>
        <v>0</v>
      </c>
      <c r="E185" s="475">
        <f t="shared" si="0"/>
        <v>0</v>
      </c>
      <c r="F185" s="475">
        <f t="shared" si="0"/>
        <v>0</v>
      </c>
      <c r="G185" s="475">
        <f t="shared" si="0"/>
        <v>6098.400000000023</v>
      </c>
    </row>
    <row r="186" spans="1:7" ht="12.75">
      <c r="A186" s="474"/>
      <c r="B186" s="474"/>
      <c r="C186" s="474" t="s">
        <v>447</v>
      </c>
      <c r="D186" s="475">
        <f t="shared" si="0"/>
        <v>0</v>
      </c>
      <c r="E186" s="475">
        <f t="shared" si="0"/>
        <v>0</v>
      </c>
      <c r="F186" s="475">
        <f t="shared" si="0"/>
        <v>0</v>
      </c>
      <c r="G186" s="475">
        <f t="shared" si="0"/>
        <v>-33081.09999999998</v>
      </c>
    </row>
  </sheetData>
  <sheetProtection/>
  <mergeCells count="2">
    <mergeCell ref="A3:C3"/>
    <mergeCell ref="A81:C8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&amp;LFachgruppe für kantonale Finanzfragen (FkF)
Groupe d'études pour les finances cantonales
&amp;CRechnung 2011 - Budget 2013
Compte 2011 - Budget 2013&amp;RZürich, 12.9.2013</oddHeader>
    <oddFooter>&amp;LQuelle/Source: FkF Sept. 2013</oddFooter>
  </headerFooter>
  <rowBreaks count="2" manualBreakCount="2">
    <brk id="79" max="6" man="1"/>
    <brk id="148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2" max="2" width="42.421875" style="0" customWidth="1"/>
    <col min="4" max="4" width="8.7109375" style="0" customWidth="1"/>
    <col min="6" max="6" width="9.00390625" style="0" customWidth="1"/>
    <col min="8" max="8" width="9.28125" style="0" customWidth="1"/>
  </cols>
  <sheetData>
    <row r="1" spans="1:9" ht="12.75">
      <c r="A1" s="5" t="s">
        <v>20</v>
      </c>
      <c r="B1" s="6" t="s">
        <v>166</v>
      </c>
      <c r="C1" s="57" t="s">
        <v>22</v>
      </c>
      <c r="D1" s="7" t="s">
        <v>23</v>
      </c>
      <c r="E1" s="57" t="s">
        <v>24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>
        <v>0</v>
      </c>
      <c r="F3" s="134">
        <v>0</v>
      </c>
      <c r="G3" s="135">
        <v>0</v>
      </c>
      <c r="H3" s="134">
        <v>0</v>
      </c>
      <c r="I3" s="115" t="s">
        <v>103</v>
      </c>
    </row>
    <row r="4" spans="1:9" ht="12.75">
      <c r="A4" s="5" t="s">
        <v>28</v>
      </c>
      <c r="B4" s="9" t="s">
        <v>29</v>
      </c>
      <c r="C4" s="10">
        <v>20042.7</v>
      </c>
      <c r="D4" s="11">
        <v>0.047912706371895965</v>
      </c>
      <c r="E4" s="10">
        <v>21003</v>
      </c>
      <c r="F4" s="11">
        <v>0.004346998047897885</v>
      </c>
      <c r="G4" s="10">
        <v>21094.3</v>
      </c>
      <c r="H4" s="11">
        <v>0.027908013065140857</v>
      </c>
      <c r="I4" s="12">
        <v>21683</v>
      </c>
    </row>
    <row r="5" spans="1:9" ht="12.75">
      <c r="A5" s="13" t="s">
        <v>30</v>
      </c>
      <c r="B5" s="14" t="s">
        <v>31</v>
      </c>
      <c r="C5" s="15">
        <v>10357.6</v>
      </c>
      <c r="D5" s="16">
        <v>0.15316289487912255</v>
      </c>
      <c r="E5" s="15">
        <v>11944</v>
      </c>
      <c r="F5" s="16">
        <v>-0.10401875418620225</v>
      </c>
      <c r="G5" s="15">
        <v>10701.6</v>
      </c>
      <c r="H5" s="16">
        <v>0.12642034835912383</v>
      </c>
      <c r="I5" s="17">
        <v>12054.5</v>
      </c>
    </row>
    <row r="6" spans="1:9" ht="12.75">
      <c r="A6" s="13" t="s">
        <v>32</v>
      </c>
      <c r="B6" s="14" t="s">
        <v>33</v>
      </c>
      <c r="C6" s="15">
        <v>1075.7</v>
      </c>
      <c r="D6" s="16">
        <v>0.20851538533048242</v>
      </c>
      <c r="E6" s="15">
        <v>1300</v>
      </c>
      <c r="F6" s="16">
        <v>-0.24223076923076922</v>
      </c>
      <c r="G6" s="15">
        <v>985.1</v>
      </c>
      <c r="H6" s="16">
        <v>0.4404628971678002</v>
      </c>
      <c r="I6" s="17">
        <v>1419</v>
      </c>
    </row>
    <row r="7" spans="1:9" ht="12.75">
      <c r="A7" s="13" t="s">
        <v>34</v>
      </c>
      <c r="B7" s="14" t="s">
        <v>35</v>
      </c>
      <c r="C7" s="15">
        <v>19.9</v>
      </c>
      <c r="D7" s="16">
        <v>2.3668341708542715</v>
      </c>
      <c r="E7" s="15">
        <v>67</v>
      </c>
      <c r="F7" s="16">
        <v>-0.7746268656716417</v>
      </c>
      <c r="G7" s="15">
        <v>15.1</v>
      </c>
      <c r="H7" s="16">
        <v>0.9867549668874173</v>
      </c>
      <c r="I7" s="17">
        <v>30</v>
      </c>
    </row>
    <row r="8" spans="1:9" ht="12.75">
      <c r="A8" s="13" t="s">
        <v>36</v>
      </c>
      <c r="B8" s="14" t="s">
        <v>37</v>
      </c>
      <c r="C8" s="15">
        <v>0</v>
      </c>
      <c r="D8" s="43" t="s">
        <v>48</v>
      </c>
      <c r="E8" s="15">
        <v>0</v>
      </c>
      <c r="F8" s="43" t="s">
        <v>48</v>
      </c>
      <c r="G8" s="15">
        <v>0</v>
      </c>
      <c r="H8" s="43" t="s">
        <v>48</v>
      </c>
      <c r="I8" s="17">
        <v>0</v>
      </c>
    </row>
    <row r="9" spans="1:9" ht="12.75">
      <c r="A9" s="13" t="s">
        <v>38</v>
      </c>
      <c r="B9" s="14" t="s">
        <v>39</v>
      </c>
      <c r="C9" s="15">
        <v>7363.5</v>
      </c>
      <c r="D9" s="16">
        <v>-0.7753785563930197</v>
      </c>
      <c r="E9" s="15">
        <v>1654</v>
      </c>
      <c r="F9" s="16">
        <v>1.9808948004836757</v>
      </c>
      <c r="G9" s="15">
        <v>4930.4</v>
      </c>
      <c r="H9" s="16">
        <v>-0.5610903780626318</v>
      </c>
      <c r="I9" s="17">
        <v>2164</v>
      </c>
    </row>
    <row r="10" spans="1:9" ht="12.75">
      <c r="A10" s="13" t="s">
        <v>40</v>
      </c>
      <c r="B10" s="14" t="s">
        <v>41</v>
      </c>
      <c r="C10" s="15">
        <v>99300.3</v>
      </c>
      <c r="D10" s="16">
        <v>-0.0031450056042127052</v>
      </c>
      <c r="E10" s="15">
        <v>98988</v>
      </c>
      <c r="F10" s="16">
        <v>0.019924637329777378</v>
      </c>
      <c r="G10" s="15">
        <v>100960.3</v>
      </c>
      <c r="H10" s="16">
        <v>-0.012725794198313623</v>
      </c>
      <c r="I10" s="17">
        <v>99675.5</v>
      </c>
    </row>
    <row r="11" spans="1:9" ht="12.75">
      <c r="A11" s="13" t="s">
        <v>42</v>
      </c>
      <c r="B11" s="14" t="s">
        <v>43</v>
      </c>
      <c r="C11" s="15">
        <v>20195.4</v>
      </c>
      <c r="D11" s="43">
        <v>-0.08746546243203905</v>
      </c>
      <c r="E11" s="15">
        <v>18429</v>
      </c>
      <c r="F11" s="16">
        <v>0.06735037169678229</v>
      </c>
      <c r="G11" s="15">
        <v>19670.2</v>
      </c>
      <c r="H11" s="16">
        <v>-0.08613028845665019</v>
      </c>
      <c r="I11" s="17">
        <v>17976</v>
      </c>
    </row>
    <row r="12" spans="1:9" ht="12.75">
      <c r="A12" s="13" t="s">
        <v>44</v>
      </c>
      <c r="B12" s="14" t="s">
        <v>45</v>
      </c>
      <c r="C12" s="15">
        <v>523.3</v>
      </c>
      <c r="D12" s="43">
        <v>-0.0005732849226064486</v>
      </c>
      <c r="E12" s="15">
        <v>523</v>
      </c>
      <c r="F12" s="16">
        <v>-0.0032504780114723623</v>
      </c>
      <c r="G12" s="15">
        <v>521.3</v>
      </c>
      <c r="H12" s="16">
        <v>0.01860732783426059</v>
      </c>
      <c r="I12" s="17">
        <v>531</v>
      </c>
    </row>
    <row r="13" spans="1:9" ht="12.75">
      <c r="A13" s="13" t="s">
        <v>46</v>
      </c>
      <c r="B13" s="14" t="s">
        <v>47</v>
      </c>
      <c r="C13" s="15">
        <v>8656.9</v>
      </c>
      <c r="D13" s="43">
        <v>0.05130011898023546</v>
      </c>
      <c r="E13" s="15">
        <v>9101</v>
      </c>
      <c r="F13" s="43">
        <v>-0.10502142621689926</v>
      </c>
      <c r="G13" s="15">
        <v>8145.2</v>
      </c>
      <c r="H13" s="43">
        <v>0.14644207631488487</v>
      </c>
      <c r="I13" s="17">
        <v>9338</v>
      </c>
    </row>
    <row r="14" spans="1:9" ht="12.75">
      <c r="A14" s="13" t="s">
        <v>49</v>
      </c>
      <c r="B14" s="14" t="s">
        <v>50</v>
      </c>
      <c r="C14" s="15">
        <v>0</v>
      </c>
      <c r="D14" s="43" t="s">
        <v>48</v>
      </c>
      <c r="E14" s="15">
        <v>0</v>
      </c>
      <c r="F14" s="43" t="s">
        <v>48</v>
      </c>
      <c r="G14" s="15">
        <v>0</v>
      </c>
      <c r="H14" s="43" t="s">
        <v>48</v>
      </c>
      <c r="I14" s="17">
        <v>0</v>
      </c>
    </row>
    <row r="15" spans="1:9" ht="12.75">
      <c r="A15" s="13" t="s">
        <v>51</v>
      </c>
      <c r="B15" s="14" t="s">
        <v>52</v>
      </c>
      <c r="C15" s="15">
        <v>0</v>
      </c>
      <c r="D15" s="43" t="s">
        <v>48</v>
      </c>
      <c r="E15" s="15">
        <v>0</v>
      </c>
      <c r="F15" s="43" t="s">
        <v>48</v>
      </c>
      <c r="G15" s="15">
        <v>0</v>
      </c>
      <c r="H15" s="43" t="s">
        <v>48</v>
      </c>
      <c r="I15" s="17">
        <v>0</v>
      </c>
    </row>
    <row r="16" spans="1:9" ht="12.75">
      <c r="A16" s="13" t="s">
        <v>53</v>
      </c>
      <c r="B16" s="14" t="s">
        <v>54</v>
      </c>
      <c r="C16" s="15">
        <v>295</v>
      </c>
      <c r="D16" s="43">
        <v>-0.0847457627118644</v>
      </c>
      <c r="E16" s="15">
        <v>270</v>
      </c>
      <c r="F16" s="43">
        <v>0</v>
      </c>
      <c r="G16" s="15">
        <v>270</v>
      </c>
      <c r="H16" s="43">
        <v>0</v>
      </c>
      <c r="I16" s="17">
        <v>270</v>
      </c>
    </row>
    <row r="17" spans="1:9" ht="12.75">
      <c r="A17" s="13" t="s">
        <v>55</v>
      </c>
      <c r="B17" s="14" t="s">
        <v>56</v>
      </c>
      <c r="C17" s="15">
        <v>1032.4</v>
      </c>
      <c r="D17" s="16">
        <v>-0.21929484695854326</v>
      </c>
      <c r="E17" s="15">
        <v>806</v>
      </c>
      <c r="F17" s="16">
        <v>3.099131513647643</v>
      </c>
      <c r="G17" s="15">
        <v>3303.9</v>
      </c>
      <c r="H17" s="16">
        <v>-0.7811677108871334</v>
      </c>
      <c r="I17" s="17">
        <v>723</v>
      </c>
    </row>
    <row r="18" spans="1:9" ht="12.75">
      <c r="A18" s="13">
        <v>389</v>
      </c>
      <c r="B18" s="14" t="s">
        <v>57</v>
      </c>
      <c r="C18" s="15">
        <v>0</v>
      </c>
      <c r="D18" s="43" t="s">
        <v>48</v>
      </c>
      <c r="E18" s="15">
        <v>0</v>
      </c>
      <c r="F18" s="43" t="s">
        <v>48</v>
      </c>
      <c r="G18" s="15">
        <v>0</v>
      </c>
      <c r="H18" s="43" t="s">
        <v>48</v>
      </c>
      <c r="I18" s="17">
        <v>0</v>
      </c>
    </row>
    <row r="19" spans="1:9" ht="12.75">
      <c r="A19" s="18" t="s">
        <v>58</v>
      </c>
      <c r="B19" s="19" t="s">
        <v>59</v>
      </c>
      <c r="C19" s="20">
        <v>6776.2</v>
      </c>
      <c r="D19" s="43">
        <v>-0.00932676131164957</v>
      </c>
      <c r="E19" s="20">
        <v>6713</v>
      </c>
      <c r="F19" s="43">
        <v>0.045315060330701595</v>
      </c>
      <c r="G19" s="20">
        <v>7017.2</v>
      </c>
      <c r="H19" s="43">
        <v>-0.016060536966311323</v>
      </c>
      <c r="I19" s="21">
        <v>6904.5</v>
      </c>
    </row>
    <row r="20" spans="1:9" ht="12.75">
      <c r="A20" s="22" t="s">
        <v>60</v>
      </c>
      <c r="B20" s="23" t="s">
        <v>61</v>
      </c>
      <c r="C20" s="24">
        <v>144892.6</v>
      </c>
      <c r="D20" s="25">
        <v>-0.02565762502708907</v>
      </c>
      <c r="E20" s="24">
        <v>141175</v>
      </c>
      <c r="F20" s="25">
        <v>0.04850575526828417</v>
      </c>
      <c r="G20" s="24">
        <v>148022.80000000002</v>
      </c>
      <c r="H20" s="25">
        <v>-0.032348394976990144</v>
      </c>
      <c r="I20" s="26">
        <v>143234.5</v>
      </c>
    </row>
    <row r="21" spans="1:9" ht="12.75">
      <c r="A21" s="27" t="s">
        <v>62</v>
      </c>
      <c r="B21" s="28" t="s">
        <v>63</v>
      </c>
      <c r="C21" s="10">
        <v>35055.8</v>
      </c>
      <c r="D21" s="16">
        <v>-0.045692866800928884</v>
      </c>
      <c r="E21" s="10">
        <v>33454</v>
      </c>
      <c r="F21" s="16">
        <v>0.23695821127518374</v>
      </c>
      <c r="G21" s="10">
        <v>41381.2</v>
      </c>
      <c r="H21" s="16">
        <v>-0.15224788068011555</v>
      </c>
      <c r="I21" s="12">
        <v>35081</v>
      </c>
    </row>
    <row r="22" spans="1:9" ht="12.75">
      <c r="A22" s="8" t="s">
        <v>64</v>
      </c>
      <c r="B22" s="29" t="s">
        <v>65</v>
      </c>
      <c r="C22" s="15">
        <v>11027.6</v>
      </c>
      <c r="D22" s="16">
        <v>-0.4468424679894084</v>
      </c>
      <c r="E22" s="15">
        <v>6100</v>
      </c>
      <c r="F22" s="16">
        <v>0.4879344262295081</v>
      </c>
      <c r="G22" s="15">
        <v>9076.4</v>
      </c>
      <c r="H22" s="16">
        <v>-0.31690978802168257</v>
      </c>
      <c r="I22" s="17">
        <v>6200</v>
      </c>
    </row>
    <row r="23" spans="1:9" ht="12.75">
      <c r="A23" s="8" t="s">
        <v>66</v>
      </c>
      <c r="B23" s="29" t="s">
        <v>67</v>
      </c>
      <c r="C23" s="15">
        <v>15066.4</v>
      </c>
      <c r="D23" s="16">
        <v>-0.19688844050337173</v>
      </c>
      <c r="E23" s="15">
        <v>12100</v>
      </c>
      <c r="F23" s="16">
        <v>0.10396694214876033</v>
      </c>
      <c r="G23" s="15">
        <v>13358</v>
      </c>
      <c r="H23" s="16">
        <v>-0.017817038478814193</v>
      </c>
      <c r="I23" s="17">
        <v>13120</v>
      </c>
    </row>
    <row r="24" spans="1:9" ht="12.75">
      <c r="A24" s="8" t="s">
        <v>68</v>
      </c>
      <c r="B24" s="29" t="s">
        <v>69</v>
      </c>
      <c r="C24" s="15">
        <v>12769</v>
      </c>
      <c r="D24" s="16">
        <v>-0.10008614613517111</v>
      </c>
      <c r="E24" s="15">
        <v>11491</v>
      </c>
      <c r="F24" s="16">
        <v>0.12685580019145423</v>
      </c>
      <c r="G24" s="15">
        <v>12948.7</v>
      </c>
      <c r="H24" s="16">
        <v>-0.06986801763883638</v>
      </c>
      <c r="I24" s="17">
        <v>12044</v>
      </c>
    </row>
    <row r="25" spans="1:9" ht="12.75">
      <c r="A25" s="8" t="s">
        <v>70</v>
      </c>
      <c r="B25" s="29" t="s">
        <v>71</v>
      </c>
      <c r="C25" s="15">
        <v>62535.1</v>
      </c>
      <c r="D25" s="16">
        <v>-0.038124189455201934</v>
      </c>
      <c r="E25" s="15">
        <v>60151</v>
      </c>
      <c r="F25" s="16">
        <v>0.05261259164436164</v>
      </c>
      <c r="G25" s="15">
        <v>63315.7</v>
      </c>
      <c r="H25" s="16">
        <v>-0.04989599735926472</v>
      </c>
      <c r="I25" s="17">
        <v>60156.5</v>
      </c>
    </row>
    <row r="26" spans="1:9" ht="12.75">
      <c r="A26" s="59" t="s">
        <v>72</v>
      </c>
      <c r="B26" s="29" t="s">
        <v>73</v>
      </c>
      <c r="C26" s="15">
        <v>2104.9</v>
      </c>
      <c r="D26" s="16">
        <v>0.05895767019810913</v>
      </c>
      <c r="E26" s="15">
        <v>2229</v>
      </c>
      <c r="F26" s="16">
        <v>-0.4523104531179902</v>
      </c>
      <c r="G26" s="15">
        <v>1220.8</v>
      </c>
      <c r="H26" s="16">
        <v>0.716497378768021</v>
      </c>
      <c r="I26" s="17">
        <v>2095.5</v>
      </c>
    </row>
    <row r="27" spans="1:9" ht="12.75">
      <c r="A27" s="195">
        <v>489</v>
      </c>
      <c r="B27" s="29" t="s">
        <v>74</v>
      </c>
      <c r="C27" s="15">
        <v>0</v>
      </c>
      <c r="D27" s="43" t="s">
        <v>48</v>
      </c>
      <c r="E27" s="15">
        <v>0</v>
      </c>
      <c r="F27" s="43" t="s">
        <v>48</v>
      </c>
      <c r="G27" s="15">
        <v>0</v>
      </c>
      <c r="H27" s="43" t="s">
        <v>48</v>
      </c>
      <c r="I27" s="17">
        <v>0</v>
      </c>
    </row>
    <row r="28" spans="1:9" ht="12.75">
      <c r="A28" s="30" t="s">
        <v>75</v>
      </c>
      <c r="B28" s="31" t="s">
        <v>76</v>
      </c>
      <c r="C28" s="20">
        <v>6776.2</v>
      </c>
      <c r="D28" s="16">
        <v>-0.00932676131164957</v>
      </c>
      <c r="E28" s="20">
        <v>6713</v>
      </c>
      <c r="F28" s="16">
        <v>0.045315060330701595</v>
      </c>
      <c r="G28" s="20">
        <v>7017.2</v>
      </c>
      <c r="H28" s="16">
        <v>-0.016060536966311323</v>
      </c>
      <c r="I28" s="21">
        <v>6904.5</v>
      </c>
    </row>
    <row r="29" spans="1:9" ht="12.75">
      <c r="A29" s="51" t="s">
        <v>77</v>
      </c>
      <c r="B29" s="52" t="s">
        <v>78</v>
      </c>
      <c r="C29" s="24">
        <v>145335</v>
      </c>
      <c r="D29" s="53">
        <v>-0.09011593903739636</v>
      </c>
      <c r="E29" s="24">
        <v>132238</v>
      </c>
      <c r="F29" s="53">
        <v>0.12159893525310425</v>
      </c>
      <c r="G29" s="24">
        <v>148318</v>
      </c>
      <c r="H29" s="54">
        <v>-0.08573807629552718</v>
      </c>
      <c r="I29" s="26">
        <v>135601.5</v>
      </c>
    </row>
    <row r="30" spans="1:9" ht="12.75">
      <c r="A30" s="50" t="s">
        <v>79</v>
      </c>
      <c r="B30" s="32" t="s">
        <v>80</v>
      </c>
      <c r="C30" s="33">
        <v>442.3999999999942</v>
      </c>
      <c r="D30" s="136">
        <v>0</v>
      </c>
      <c r="E30" s="33">
        <v>-8937</v>
      </c>
      <c r="F30" s="136">
        <v>0</v>
      </c>
      <c r="G30" s="34">
        <v>295.19999999998254</v>
      </c>
      <c r="H30" s="137">
        <v>0</v>
      </c>
      <c r="I30" s="35">
        <v>-7633</v>
      </c>
    </row>
    <row r="31" spans="1:9" ht="12.75">
      <c r="A31" s="140">
        <v>0</v>
      </c>
      <c r="B31" s="28" t="s">
        <v>81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>
        <v>0</v>
      </c>
      <c r="I31" s="139">
        <v>0</v>
      </c>
    </row>
    <row r="32" spans="1:9" ht="12.75">
      <c r="A32" s="59" t="s">
        <v>82</v>
      </c>
      <c r="B32" s="29" t="s">
        <v>83</v>
      </c>
      <c r="C32" s="15">
        <v>8842.4</v>
      </c>
      <c r="D32" s="16">
        <v>-0.7150094996833439</v>
      </c>
      <c r="E32" s="15">
        <v>2520</v>
      </c>
      <c r="F32" s="16">
        <v>0.028690476190476263</v>
      </c>
      <c r="G32" s="15">
        <v>2592.3</v>
      </c>
      <c r="H32" s="16">
        <v>1.0163561316205685</v>
      </c>
      <c r="I32" s="17">
        <v>5227</v>
      </c>
    </row>
    <row r="33" spans="1:9" ht="12.75">
      <c r="A33" s="59" t="s">
        <v>84</v>
      </c>
      <c r="B33" s="29" t="s">
        <v>85</v>
      </c>
      <c r="C33" s="15">
        <v>0</v>
      </c>
      <c r="D33" s="43" t="s">
        <v>48</v>
      </c>
      <c r="E33" s="15">
        <v>0</v>
      </c>
      <c r="F33" s="43" t="s">
        <v>48</v>
      </c>
      <c r="G33" s="15">
        <v>0</v>
      </c>
      <c r="H33" s="43" t="s">
        <v>48</v>
      </c>
      <c r="I33" s="17">
        <v>0</v>
      </c>
    </row>
    <row r="34" spans="1:9" ht="12.75">
      <c r="A34" s="8" t="s">
        <v>86</v>
      </c>
      <c r="B34" s="29" t="s">
        <v>87</v>
      </c>
      <c r="C34" s="15">
        <v>3656.3</v>
      </c>
      <c r="D34" s="16">
        <v>0.9692038399474878</v>
      </c>
      <c r="E34" s="15">
        <v>7200</v>
      </c>
      <c r="F34" s="16">
        <v>0.10561111111111106</v>
      </c>
      <c r="G34" s="15">
        <v>7960.4</v>
      </c>
      <c r="H34" s="16">
        <v>-0.15456509723129488</v>
      </c>
      <c r="I34" s="17">
        <v>6730</v>
      </c>
    </row>
    <row r="35" spans="1:9" ht="12.75">
      <c r="A35" s="51" t="s">
        <v>88</v>
      </c>
      <c r="B35" s="52" t="s">
        <v>89</v>
      </c>
      <c r="C35" s="24">
        <v>12498.7</v>
      </c>
      <c r="D35" s="54">
        <v>-0.22231912118860367</v>
      </c>
      <c r="E35" s="24">
        <v>9720</v>
      </c>
      <c r="F35" s="54">
        <v>0.08566872427983546</v>
      </c>
      <c r="G35" s="24">
        <v>10552.7</v>
      </c>
      <c r="H35" s="54">
        <v>0.1330749476437309</v>
      </c>
      <c r="I35" s="26">
        <v>11957</v>
      </c>
    </row>
    <row r="36" spans="1:9" ht="12.75">
      <c r="A36" s="8" t="s">
        <v>90</v>
      </c>
      <c r="B36" s="29" t="s">
        <v>91</v>
      </c>
      <c r="C36" s="15">
        <v>0</v>
      </c>
      <c r="D36" s="43" t="s">
        <v>48</v>
      </c>
      <c r="E36" s="15">
        <v>0</v>
      </c>
      <c r="F36" s="43" t="s">
        <v>48</v>
      </c>
      <c r="G36" s="15">
        <v>0</v>
      </c>
      <c r="H36" s="43" t="s">
        <v>48</v>
      </c>
      <c r="I36" s="17">
        <v>0</v>
      </c>
    </row>
    <row r="37" spans="1:9" ht="12.75">
      <c r="A37" s="8" t="s">
        <v>92</v>
      </c>
      <c r="B37" s="29" t="s">
        <v>93</v>
      </c>
      <c r="C37" s="15">
        <v>3135.2</v>
      </c>
      <c r="D37" s="16">
        <v>-0.8883643786680275</v>
      </c>
      <c r="E37" s="15">
        <v>350</v>
      </c>
      <c r="F37" s="16">
        <v>3.6342857142857143</v>
      </c>
      <c r="G37" s="15">
        <v>1622</v>
      </c>
      <c r="H37" s="16">
        <v>-0.612731196054254</v>
      </c>
      <c r="I37" s="17">
        <v>628.15</v>
      </c>
    </row>
    <row r="38" spans="1:9" ht="12.75">
      <c r="A38" s="51" t="s">
        <v>94</v>
      </c>
      <c r="B38" s="52" t="s">
        <v>95</v>
      </c>
      <c r="C38" s="24">
        <v>3135.2</v>
      </c>
      <c r="D38" s="54">
        <v>-0.8883643786680275</v>
      </c>
      <c r="E38" s="24">
        <v>350</v>
      </c>
      <c r="F38" s="54">
        <v>3.6342857142857143</v>
      </c>
      <c r="G38" s="24">
        <v>1622</v>
      </c>
      <c r="H38" s="54">
        <v>-0.612731196054254</v>
      </c>
      <c r="I38" s="26">
        <v>628.15</v>
      </c>
    </row>
    <row r="39" spans="1:9" ht="12.75">
      <c r="A39" s="36" t="s">
        <v>96</v>
      </c>
      <c r="B39" s="37" t="s">
        <v>3</v>
      </c>
      <c r="C39" s="38">
        <v>9363.5</v>
      </c>
      <c r="D39" s="39">
        <v>0.0006941848667699044</v>
      </c>
      <c r="E39" s="38">
        <v>9370</v>
      </c>
      <c r="F39" s="39">
        <v>-0.04688367129135531</v>
      </c>
      <c r="G39" s="38">
        <v>8930.7</v>
      </c>
      <c r="H39" s="39">
        <v>0.26852878273819514</v>
      </c>
      <c r="I39" s="40">
        <v>11328.85</v>
      </c>
    </row>
    <row r="40" spans="1:9" ht="12.75">
      <c r="A40" s="131" t="s">
        <v>0</v>
      </c>
      <c r="B40" s="29" t="s">
        <v>97</v>
      </c>
      <c r="C40" s="15">
        <v>7805.899999999994</v>
      </c>
      <c r="D40" s="16">
        <v>-1.9330122087139223</v>
      </c>
      <c r="E40" s="15">
        <v>-7283</v>
      </c>
      <c r="F40" s="16">
        <v>-1.7175065220376193</v>
      </c>
      <c r="G40" s="15">
        <v>5225.599999999982</v>
      </c>
      <c r="H40" s="16">
        <v>-2.046578383343543</v>
      </c>
      <c r="I40" s="17">
        <v>-5469</v>
      </c>
    </row>
    <row r="41" spans="1:9" ht="12.75">
      <c r="A41" s="131" t="s">
        <v>0</v>
      </c>
      <c r="B41" s="29" t="s">
        <v>98</v>
      </c>
      <c r="C41" s="15">
        <v>-1557.6000000000058</v>
      </c>
      <c r="D41" s="16">
        <v>9.691448382126309</v>
      </c>
      <c r="E41" s="15">
        <v>-16653</v>
      </c>
      <c r="F41" s="16">
        <v>-0.7775115594787715</v>
      </c>
      <c r="G41" s="15">
        <v>-3705.1000000000186</v>
      </c>
      <c r="H41" s="16">
        <v>3.5337102912201868</v>
      </c>
      <c r="I41" s="17">
        <v>-16797.85</v>
      </c>
    </row>
    <row r="42" spans="1:9" ht="12.75">
      <c r="A42" s="141" t="s">
        <v>0</v>
      </c>
      <c r="B42" s="31" t="s">
        <v>99</v>
      </c>
      <c r="C42" s="20">
        <v>142219.2</v>
      </c>
      <c r="D42" s="129">
        <v>-0.0034960117902506243</v>
      </c>
      <c r="E42" s="20">
        <v>141722</v>
      </c>
      <c r="F42" s="129">
        <v>0.011303820154951448</v>
      </c>
      <c r="G42" s="20">
        <v>143324.00000000003</v>
      </c>
      <c r="H42" s="129">
        <v>0.01448466411766327</v>
      </c>
      <c r="I42" s="21">
        <v>145400</v>
      </c>
    </row>
    <row r="43" spans="1:9" ht="12.75">
      <c r="A43" s="141">
        <v>0</v>
      </c>
      <c r="B43" s="31" t="s">
        <v>5</v>
      </c>
      <c r="C43" s="66">
        <v>0.8336519463875681</v>
      </c>
      <c r="D43" s="142">
        <v>0</v>
      </c>
      <c r="E43" s="66" t="s">
        <v>100</v>
      </c>
      <c r="F43" s="142">
        <v>0</v>
      </c>
      <c r="G43" s="41">
        <v>0.5851277055549936</v>
      </c>
      <c r="H43" s="142">
        <v>0</v>
      </c>
      <c r="I43" s="235" t="s">
        <v>100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43.00390625" style="0" customWidth="1"/>
    <col min="3" max="3" width="12.28125" style="0" bestFit="1" customWidth="1"/>
    <col min="4" max="4" width="8.57421875" style="0" customWidth="1"/>
    <col min="5" max="5" width="12.28125" style="0" bestFit="1" customWidth="1"/>
    <col min="6" max="6" width="7.7109375" style="0" customWidth="1"/>
    <col min="7" max="7" width="12.28125" style="0" bestFit="1" customWidth="1"/>
    <col min="8" max="8" width="9.28125" style="0" customWidth="1"/>
    <col min="9" max="9" width="12.28125" style="0" bestFit="1" customWidth="1"/>
  </cols>
  <sheetData>
    <row r="1" spans="1:9" ht="12.75">
      <c r="A1" s="5" t="s">
        <v>20</v>
      </c>
      <c r="B1" s="6" t="s">
        <v>167</v>
      </c>
      <c r="C1" s="57" t="s">
        <v>22</v>
      </c>
      <c r="D1" s="7" t="s">
        <v>23</v>
      </c>
      <c r="E1" s="57" t="s">
        <v>105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 t="s">
        <v>103</v>
      </c>
      <c r="F3" s="134">
        <v>0</v>
      </c>
      <c r="G3" s="135">
        <v>0</v>
      </c>
      <c r="H3" s="134">
        <v>0</v>
      </c>
      <c r="I3" s="115" t="s">
        <v>103</v>
      </c>
    </row>
    <row r="4" spans="1:9" ht="12.75">
      <c r="A4" s="5" t="s">
        <v>28</v>
      </c>
      <c r="B4" s="9" t="s">
        <v>29</v>
      </c>
      <c r="C4" s="10">
        <v>786167.1346299999</v>
      </c>
      <c r="D4" s="11">
        <v>-0.11309914993056346</v>
      </c>
      <c r="E4" s="10">
        <v>697252.3</v>
      </c>
      <c r="F4" s="11">
        <v>-0.004420064300971145</v>
      </c>
      <c r="G4" s="10">
        <v>694170.4</v>
      </c>
      <c r="H4" s="11">
        <v>0.005077139561122201</v>
      </c>
      <c r="I4" s="12">
        <v>697694.8</v>
      </c>
    </row>
    <row r="5" spans="1:9" ht="12.75">
      <c r="A5" s="13" t="s">
        <v>30</v>
      </c>
      <c r="B5" s="14" t="s">
        <v>31</v>
      </c>
      <c r="C5" s="15">
        <v>463163.60262</v>
      </c>
      <c r="D5" s="16">
        <v>-0.05208311379292821</v>
      </c>
      <c r="E5" s="15">
        <v>439040.6</v>
      </c>
      <c r="F5" s="16">
        <v>-0.014643292670427292</v>
      </c>
      <c r="G5" s="15">
        <v>432611.6</v>
      </c>
      <c r="H5" s="16">
        <v>0.04889905864752597</v>
      </c>
      <c r="I5" s="17">
        <v>453765.9</v>
      </c>
    </row>
    <row r="6" spans="1:9" ht="12.75">
      <c r="A6" s="13" t="s">
        <v>32</v>
      </c>
      <c r="B6" s="14" t="s">
        <v>33</v>
      </c>
      <c r="C6" s="15">
        <v>62221.93881</v>
      </c>
      <c r="D6" s="16">
        <v>0.028138968722051676</v>
      </c>
      <c r="E6" s="15">
        <v>63972.8</v>
      </c>
      <c r="F6" s="16">
        <v>0.013738651426856322</v>
      </c>
      <c r="G6" s="15">
        <v>64851.7</v>
      </c>
      <c r="H6" s="16">
        <v>-0.02994987024241455</v>
      </c>
      <c r="I6" s="17">
        <v>62909.4</v>
      </c>
    </row>
    <row r="7" spans="1:9" ht="12.75">
      <c r="A7" s="13" t="s">
        <v>34</v>
      </c>
      <c r="B7" s="14" t="s">
        <v>35</v>
      </c>
      <c r="C7" s="15">
        <v>22734.70206</v>
      </c>
      <c r="D7" s="16">
        <v>0.04651910270074591</v>
      </c>
      <c r="E7" s="15">
        <v>23792.3</v>
      </c>
      <c r="F7" s="16">
        <v>0.04203460783530816</v>
      </c>
      <c r="G7" s="15">
        <v>24792.4</v>
      </c>
      <c r="H7" s="16">
        <v>-0.1110703280037431</v>
      </c>
      <c r="I7" s="17">
        <v>22038.7</v>
      </c>
    </row>
    <row r="8" spans="1:9" ht="12.75">
      <c r="A8" s="13" t="s">
        <v>36</v>
      </c>
      <c r="B8" s="14" t="s">
        <v>37</v>
      </c>
      <c r="C8" s="15">
        <v>50507.960450000006</v>
      </c>
      <c r="D8" s="16">
        <v>-0.6110474502440536</v>
      </c>
      <c r="E8" s="15">
        <v>19645.2</v>
      </c>
      <c r="F8" s="16">
        <v>0.15465864435078286</v>
      </c>
      <c r="G8" s="15">
        <v>22683.5</v>
      </c>
      <c r="H8" s="16">
        <v>-0.09011836797672321</v>
      </c>
      <c r="I8" s="17">
        <v>20639.3</v>
      </c>
    </row>
    <row r="9" spans="1:9" ht="12.75">
      <c r="A9" s="13" t="s">
        <v>38</v>
      </c>
      <c r="B9" s="14" t="s">
        <v>39</v>
      </c>
      <c r="C9" s="15">
        <v>96938.66939</v>
      </c>
      <c r="D9" s="16">
        <v>0.17779004723761868</v>
      </c>
      <c r="E9" s="15">
        <v>114173.4</v>
      </c>
      <c r="F9" s="16">
        <v>-0.1262474446762555</v>
      </c>
      <c r="G9" s="15">
        <v>99759.3</v>
      </c>
      <c r="H9" s="16">
        <v>0.15661497223817733</v>
      </c>
      <c r="I9" s="17">
        <v>115383.1</v>
      </c>
    </row>
    <row r="10" spans="1:9" ht="12.75">
      <c r="A10" s="13" t="s">
        <v>40</v>
      </c>
      <c r="B10" s="14" t="s">
        <v>41</v>
      </c>
      <c r="C10" s="15">
        <v>2610999.6850099997</v>
      </c>
      <c r="D10" s="16">
        <v>0.022638805867865913</v>
      </c>
      <c r="E10" s="15">
        <v>2670109.6</v>
      </c>
      <c r="F10" s="16">
        <v>0.03447712408509363</v>
      </c>
      <c r="G10" s="15">
        <v>2762167.3</v>
      </c>
      <c r="H10" s="16">
        <v>0.002064103792699272</v>
      </c>
      <c r="I10" s="17">
        <v>2767868.6999999997</v>
      </c>
    </row>
    <row r="11" spans="1:9" ht="12.75">
      <c r="A11" s="13" t="s">
        <v>42</v>
      </c>
      <c r="B11" s="14" t="s">
        <v>43</v>
      </c>
      <c r="C11" s="15">
        <v>779732.4</v>
      </c>
      <c r="D11" s="43">
        <v>0.018367198797946578</v>
      </c>
      <c r="E11" s="15">
        <v>794053.9</v>
      </c>
      <c r="F11" s="16">
        <v>0.03734771657188508</v>
      </c>
      <c r="G11" s="15">
        <v>823710</v>
      </c>
      <c r="H11" s="16">
        <v>0.020094693520777886</v>
      </c>
      <c r="I11" s="17">
        <v>840262.2</v>
      </c>
    </row>
    <row r="12" spans="1:9" ht="12.75">
      <c r="A12" s="13" t="s">
        <v>44</v>
      </c>
      <c r="B12" s="14" t="s">
        <v>45</v>
      </c>
      <c r="C12" s="15">
        <v>83308.7</v>
      </c>
      <c r="D12" s="43">
        <v>0.06741312732043599</v>
      </c>
      <c r="E12" s="15">
        <v>88924.8</v>
      </c>
      <c r="F12" s="16">
        <v>-0.06661358811040347</v>
      </c>
      <c r="G12" s="15">
        <v>83001.2</v>
      </c>
      <c r="H12" s="16">
        <v>0.10826831419304792</v>
      </c>
      <c r="I12" s="17">
        <v>91987.6</v>
      </c>
    </row>
    <row r="13" spans="1:9" ht="12.75">
      <c r="A13" s="13" t="s">
        <v>46</v>
      </c>
      <c r="B13" s="14" t="s">
        <v>47</v>
      </c>
      <c r="C13" s="15">
        <v>346322.1</v>
      </c>
      <c r="D13" s="43">
        <v>0.0743308036073933</v>
      </c>
      <c r="E13" s="15">
        <v>372064.5</v>
      </c>
      <c r="F13" s="43">
        <v>-0.005604404612641119</v>
      </c>
      <c r="G13" s="15">
        <v>369979.3</v>
      </c>
      <c r="H13" s="43">
        <v>0.05774917677826841</v>
      </c>
      <c r="I13" s="17">
        <v>391345.3</v>
      </c>
    </row>
    <row r="14" spans="1:9" ht="12.75">
      <c r="A14" s="13" t="s">
        <v>49</v>
      </c>
      <c r="B14" s="14" t="s">
        <v>50</v>
      </c>
      <c r="C14" s="15">
        <v>0</v>
      </c>
      <c r="D14" s="43" t="s">
        <v>48</v>
      </c>
      <c r="E14" s="15">
        <v>0</v>
      </c>
      <c r="F14" s="16" t="s">
        <v>48</v>
      </c>
      <c r="G14" s="15">
        <v>0</v>
      </c>
      <c r="H14" s="16" t="s">
        <v>48</v>
      </c>
      <c r="I14" s="17">
        <v>0</v>
      </c>
    </row>
    <row r="15" spans="1:9" ht="12.75">
      <c r="A15" s="13" t="s">
        <v>51</v>
      </c>
      <c r="B15" s="14" t="s">
        <v>52</v>
      </c>
      <c r="C15" s="15">
        <v>0</v>
      </c>
      <c r="D15" s="43" t="s">
        <v>48</v>
      </c>
      <c r="E15" s="15">
        <v>0</v>
      </c>
      <c r="F15" s="16" t="s">
        <v>48</v>
      </c>
      <c r="G15" s="15">
        <v>0</v>
      </c>
      <c r="H15" s="16" t="s">
        <v>48</v>
      </c>
      <c r="I15" s="17">
        <v>0</v>
      </c>
    </row>
    <row r="16" spans="1:9" ht="12.75">
      <c r="A16" s="13" t="s">
        <v>53</v>
      </c>
      <c r="B16" s="14" t="s">
        <v>54</v>
      </c>
      <c r="C16" s="15">
        <v>1467</v>
      </c>
      <c r="D16" s="43">
        <v>-0.14410361281526932</v>
      </c>
      <c r="E16" s="15">
        <v>1255.6</v>
      </c>
      <c r="F16" s="43">
        <v>0.20993947116916228</v>
      </c>
      <c r="G16" s="15">
        <v>1519.2</v>
      </c>
      <c r="H16" s="43">
        <v>0.359662980516061</v>
      </c>
      <c r="I16" s="17">
        <v>2065.6</v>
      </c>
    </row>
    <row r="17" spans="1:9" ht="12.75">
      <c r="A17" s="13" t="s">
        <v>55</v>
      </c>
      <c r="B17" s="14" t="s">
        <v>56</v>
      </c>
      <c r="C17" s="15">
        <v>46559.931269999994</v>
      </c>
      <c r="D17" s="16">
        <v>-0.6341145801695681</v>
      </c>
      <c r="E17" s="15">
        <v>17035.6</v>
      </c>
      <c r="F17" s="16">
        <v>3.0387482683321987</v>
      </c>
      <c r="G17" s="15">
        <v>68802.5</v>
      </c>
      <c r="H17" s="16">
        <v>-0.7863769485120453</v>
      </c>
      <c r="I17" s="17">
        <v>14697.8</v>
      </c>
    </row>
    <row r="18" spans="1:9" ht="12.75">
      <c r="A18" s="13">
        <v>389</v>
      </c>
      <c r="B18" s="14" t="s">
        <v>57</v>
      </c>
      <c r="C18" s="15">
        <v>0</v>
      </c>
      <c r="D18" s="43" t="s">
        <v>48</v>
      </c>
      <c r="E18" s="15">
        <v>0</v>
      </c>
      <c r="F18" s="43" t="s">
        <v>48</v>
      </c>
      <c r="G18" s="15">
        <v>0</v>
      </c>
      <c r="H18" s="43" t="s">
        <v>48</v>
      </c>
      <c r="I18" s="17">
        <v>0</v>
      </c>
    </row>
    <row r="19" spans="1:9" ht="12.75">
      <c r="A19" s="18" t="s">
        <v>58</v>
      </c>
      <c r="B19" s="19" t="s">
        <v>59</v>
      </c>
      <c r="C19" s="20">
        <v>384776.52356</v>
      </c>
      <c r="D19" s="43">
        <v>0.061501352060295084</v>
      </c>
      <c r="E19" s="20">
        <v>408440.8</v>
      </c>
      <c r="F19" s="43">
        <v>-0.05524741896500053</v>
      </c>
      <c r="G19" s="20">
        <v>385875.5</v>
      </c>
      <c r="H19" s="43">
        <v>0.058569149894201686</v>
      </c>
      <c r="I19" s="21">
        <v>408475.9</v>
      </c>
    </row>
    <row r="20" spans="1:9" ht="12.75">
      <c r="A20" s="22" t="s">
        <v>60</v>
      </c>
      <c r="B20" s="23" t="s">
        <v>61</v>
      </c>
      <c r="C20" s="24">
        <v>4461848.20899</v>
      </c>
      <c r="D20" s="25">
        <v>-0.016217138190449485</v>
      </c>
      <c r="E20" s="24">
        <v>4389489.8</v>
      </c>
      <c r="F20" s="25">
        <v>0.023094415209713025</v>
      </c>
      <c r="G20" s="24">
        <v>4490862.5</v>
      </c>
      <c r="H20" s="25">
        <v>0.002160319983076789</v>
      </c>
      <c r="I20" s="26">
        <v>4500564.2</v>
      </c>
    </row>
    <row r="21" spans="1:9" ht="12.75">
      <c r="A21" s="27" t="s">
        <v>62</v>
      </c>
      <c r="B21" s="28" t="s">
        <v>63</v>
      </c>
      <c r="C21" s="10">
        <v>1438474.36371</v>
      </c>
      <c r="D21" s="16">
        <v>0.09331944988145975</v>
      </c>
      <c r="E21" s="10">
        <v>1572712</v>
      </c>
      <c r="F21" s="16">
        <v>0.002679384400958285</v>
      </c>
      <c r="G21" s="10">
        <v>1576925.9</v>
      </c>
      <c r="H21" s="16">
        <v>0.07138832585602158</v>
      </c>
      <c r="I21" s="12">
        <v>1689500</v>
      </c>
    </row>
    <row r="22" spans="1:9" ht="12.75">
      <c r="A22" s="8" t="s">
        <v>64</v>
      </c>
      <c r="B22" s="29" t="s">
        <v>65</v>
      </c>
      <c r="C22" s="15">
        <v>186645.83979</v>
      </c>
      <c r="D22" s="16">
        <v>0.0214130688071952</v>
      </c>
      <c r="E22" s="15">
        <v>190642.5</v>
      </c>
      <c r="F22" s="16">
        <v>0.016036298307040727</v>
      </c>
      <c r="G22" s="15">
        <v>193699.7</v>
      </c>
      <c r="H22" s="16">
        <v>-0.024817797859263652</v>
      </c>
      <c r="I22" s="17">
        <v>188892.5</v>
      </c>
    </row>
    <row r="23" spans="1:9" ht="12.75">
      <c r="A23" s="8" t="s">
        <v>66</v>
      </c>
      <c r="B23" s="29" t="s">
        <v>67</v>
      </c>
      <c r="C23" s="15">
        <v>241418.93613999998</v>
      </c>
      <c r="D23" s="16">
        <v>-0.4169831818065106</v>
      </c>
      <c r="E23" s="15">
        <v>140751.3</v>
      </c>
      <c r="F23" s="16">
        <v>0.2945109565595488</v>
      </c>
      <c r="G23" s="15">
        <v>182204.1</v>
      </c>
      <c r="H23" s="16">
        <v>-0.10759088297134915</v>
      </c>
      <c r="I23" s="17">
        <v>162600.6</v>
      </c>
    </row>
    <row r="24" spans="1:9" ht="12.75">
      <c r="A24" s="8" t="s">
        <v>68</v>
      </c>
      <c r="B24" s="29" t="s">
        <v>69</v>
      </c>
      <c r="C24" s="15">
        <v>393720.64412000007</v>
      </c>
      <c r="D24" s="16">
        <v>-0.2823312563872579</v>
      </c>
      <c r="E24" s="15">
        <v>282561</v>
      </c>
      <c r="F24" s="16">
        <v>0.10783830748050871</v>
      </c>
      <c r="G24" s="15">
        <v>313031.9</v>
      </c>
      <c r="H24" s="16">
        <v>-0.062052461745911586</v>
      </c>
      <c r="I24" s="17">
        <v>293607.5</v>
      </c>
    </row>
    <row r="25" spans="1:9" ht="12.75">
      <c r="A25" s="8" t="s">
        <v>70</v>
      </c>
      <c r="B25" s="29" t="s">
        <v>71</v>
      </c>
      <c r="C25" s="15">
        <v>1524136.75675</v>
      </c>
      <c r="D25" s="16">
        <v>0.0066004859507828445</v>
      </c>
      <c r="E25" s="15">
        <v>1534196.8</v>
      </c>
      <c r="F25" s="16">
        <v>0.004150380185905745</v>
      </c>
      <c r="G25" s="15">
        <v>1540564.3</v>
      </c>
      <c r="H25" s="16">
        <v>0.011312932540368517</v>
      </c>
      <c r="I25" s="17">
        <v>1557992.6</v>
      </c>
    </row>
    <row r="26" spans="1:9" ht="12.75">
      <c r="A26" s="59" t="s">
        <v>72</v>
      </c>
      <c r="B26" s="29" t="s">
        <v>73</v>
      </c>
      <c r="C26" s="15">
        <v>227827.83897</v>
      </c>
      <c r="D26" s="16">
        <v>0.017321680475227832</v>
      </c>
      <c r="E26" s="15">
        <v>231774.2</v>
      </c>
      <c r="F26" s="16">
        <v>0.26531727862721566</v>
      </c>
      <c r="G26" s="15">
        <v>293267.9</v>
      </c>
      <c r="H26" s="16">
        <v>-0.41191518062495086</v>
      </c>
      <c r="I26" s="17">
        <v>172466.4</v>
      </c>
    </row>
    <row r="27" spans="1:9" ht="12.75">
      <c r="A27" s="195">
        <v>489</v>
      </c>
      <c r="B27" s="29" t="s">
        <v>74</v>
      </c>
      <c r="C27" s="15">
        <v>0</v>
      </c>
      <c r="D27" s="16" t="s">
        <v>48</v>
      </c>
      <c r="E27" s="15">
        <v>0</v>
      </c>
      <c r="F27" s="16" t="s">
        <v>48</v>
      </c>
      <c r="G27" s="15">
        <v>0</v>
      </c>
      <c r="H27" s="16" t="s">
        <v>48</v>
      </c>
      <c r="I27" s="17">
        <v>0</v>
      </c>
    </row>
    <row r="28" spans="1:9" ht="12.75">
      <c r="A28" s="30" t="s">
        <v>75</v>
      </c>
      <c r="B28" s="31" t="s">
        <v>76</v>
      </c>
      <c r="C28" s="20">
        <v>384776.57993</v>
      </c>
      <c r="D28" s="16">
        <v>0.06150119654970961</v>
      </c>
      <c r="E28" s="20">
        <v>408440.8</v>
      </c>
      <c r="F28" s="16">
        <v>-0.05524741896500053</v>
      </c>
      <c r="G28" s="20">
        <v>385875.5</v>
      </c>
      <c r="H28" s="16">
        <v>0.058569149894201686</v>
      </c>
      <c r="I28" s="21">
        <v>408475.9</v>
      </c>
    </row>
    <row r="29" spans="1:9" ht="12.75">
      <c r="A29" s="51" t="s">
        <v>77</v>
      </c>
      <c r="B29" s="52" t="s">
        <v>78</v>
      </c>
      <c r="C29" s="24">
        <v>4397000.95941</v>
      </c>
      <c r="D29" s="53">
        <v>-0.008169741089804125</v>
      </c>
      <c r="E29" s="24">
        <v>4361078.6</v>
      </c>
      <c r="F29" s="53">
        <v>0.028545851019516393</v>
      </c>
      <c r="G29" s="24">
        <v>4485569.300000001</v>
      </c>
      <c r="H29" s="54">
        <v>-0.0026827809794401666</v>
      </c>
      <c r="I29" s="26">
        <v>4473535.5</v>
      </c>
    </row>
    <row r="30" spans="1:9" ht="12.75">
      <c r="A30" s="50" t="s">
        <v>79</v>
      </c>
      <c r="B30" s="32" t="s">
        <v>80</v>
      </c>
      <c r="C30" s="33">
        <v>-64847.24958000053</v>
      </c>
      <c r="D30" s="136">
        <v>0</v>
      </c>
      <c r="E30" s="33">
        <v>-28411.200000000186</v>
      </c>
      <c r="F30" s="136">
        <v>0</v>
      </c>
      <c r="G30" s="34">
        <v>-5293.199999999255</v>
      </c>
      <c r="H30" s="137">
        <v>0</v>
      </c>
      <c r="I30" s="35">
        <v>-27028.700000000186</v>
      </c>
    </row>
    <row r="31" spans="1:9" ht="12.75">
      <c r="A31" s="140">
        <v>0</v>
      </c>
      <c r="B31" s="28" t="s">
        <v>81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>
        <v>0</v>
      </c>
      <c r="I31" s="139">
        <v>0</v>
      </c>
    </row>
    <row r="32" spans="1:9" ht="12.75">
      <c r="A32" s="59" t="s">
        <v>82</v>
      </c>
      <c r="B32" s="29" t="s">
        <v>83</v>
      </c>
      <c r="C32" s="15">
        <v>160446.88902999996</v>
      </c>
      <c r="D32" s="16">
        <v>0.11001404313111741</v>
      </c>
      <c r="E32" s="15">
        <v>178098.3</v>
      </c>
      <c r="F32" s="16">
        <v>-0.1597774936650152</v>
      </c>
      <c r="G32" s="15">
        <v>149642.2</v>
      </c>
      <c r="H32" s="16">
        <v>0.019966292930737373</v>
      </c>
      <c r="I32" s="17">
        <v>152630</v>
      </c>
    </row>
    <row r="33" spans="1:9" ht="12.75">
      <c r="A33" s="59" t="s">
        <v>84</v>
      </c>
      <c r="B33" s="29" t="s">
        <v>85</v>
      </c>
      <c r="C33" s="15">
        <v>10301.80575</v>
      </c>
      <c r="D33" s="16">
        <v>-0.43310909351984234</v>
      </c>
      <c r="E33" s="15">
        <v>5840</v>
      </c>
      <c r="F33" s="16">
        <v>1.8787842465753422</v>
      </c>
      <c r="G33" s="15">
        <v>16812.1</v>
      </c>
      <c r="H33" s="16">
        <v>4.582407908589647</v>
      </c>
      <c r="I33" s="17">
        <v>93852</v>
      </c>
    </row>
    <row r="34" spans="1:9" ht="12.75">
      <c r="A34" s="8" t="s">
        <v>86</v>
      </c>
      <c r="B34" s="29" t="s">
        <v>87</v>
      </c>
      <c r="C34" s="15">
        <v>27645.9696</v>
      </c>
      <c r="D34" s="16">
        <v>1.1292289925689565</v>
      </c>
      <c r="E34" s="15">
        <v>58864.6</v>
      </c>
      <c r="F34" s="16">
        <v>-0.24022927192234383</v>
      </c>
      <c r="G34" s="15">
        <v>44723.6</v>
      </c>
      <c r="H34" s="16">
        <v>-0.33015678523195807</v>
      </c>
      <c r="I34" s="17">
        <v>29957.8</v>
      </c>
    </row>
    <row r="35" spans="1:9" ht="12.75">
      <c r="A35" s="51" t="s">
        <v>88</v>
      </c>
      <c r="B35" s="52" t="s">
        <v>89</v>
      </c>
      <c r="C35" s="24">
        <v>198394.66437999997</v>
      </c>
      <c r="D35" s="54">
        <v>0.22383785248852078</v>
      </c>
      <c r="E35" s="24">
        <v>242802.9</v>
      </c>
      <c r="F35" s="54">
        <v>-0.13024967988438346</v>
      </c>
      <c r="G35" s="24">
        <v>211177.90000000002</v>
      </c>
      <c r="H35" s="54">
        <v>0.30903754606897765</v>
      </c>
      <c r="I35" s="26">
        <v>276439.8</v>
      </c>
    </row>
    <row r="36" spans="1:9" ht="12.75">
      <c r="A36" s="8" t="s">
        <v>90</v>
      </c>
      <c r="B36" s="29" t="s">
        <v>91</v>
      </c>
      <c r="C36" s="15">
        <v>54.663599999999995</v>
      </c>
      <c r="D36" s="16">
        <v>2.6587418318588605</v>
      </c>
      <c r="E36" s="15">
        <v>200</v>
      </c>
      <c r="F36" s="16">
        <v>-0.05900000000000006</v>
      </c>
      <c r="G36" s="15">
        <v>188.2</v>
      </c>
      <c r="H36" s="16">
        <v>390.1689691817216</v>
      </c>
      <c r="I36" s="17">
        <v>73618</v>
      </c>
    </row>
    <row r="37" spans="1:9" ht="12.75">
      <c r="A37" s="8" t="s">
        <v>92</v>
      </c>
      <c r="B37" s="29" t="s">
        <v>93</v>
      </c>
      <c r="C37" s="15">
        <v>46131.532340000005</v>
      </c>
      <c r="D37" s="16">
        <v>0.04894846421656916</v>
      </c>
      <c r="E37" s="15">
        <v>48389.6</v>
      </c>
      <c r="F37" s="16">
        <v>-0.23611271843536633</v>
      </c>
      <c r="G37" s="15">
        <v>36964.2</v>
      </c>
      <c r="H37" s="16">
        <v>-0.1468420796338078</v>
      </c>
      <c r="I37" s="17">
        <v>31536.3</v>
      </c>
    </row>
    <row r="38" spans="1:9" ht="12.75">
      <c r="A38" s="51" t="s">
        <v>94</v>
      </c>
      <c r="B38" s="52" t="s">
        <v>95</v>
      </c>
      <c r="C38" s="24">
        <v>46186.195940000005</v>
      </c>
      <c r="D38" s="54">
        <v>0.05203728107684448</v>
      </c>
      <c r="E38" s="24">
        <v>48589.6</v>
      </c>
      <c r="F38" s="54">
        <v>-0.23538370350856982</v>
      </c>
      <c r="G38" s="24">
        <v>37152.399999999994</v>
      </c>
      <c r="H38" s="54">
        <v>1.8303501254293133</v>
      </c>
      <c r="I38" s="26">
        <v>105154.3</v>
      </c>
    </row>
    <row r="39" spans="1:9" ht="12.75">
      <c r="A39" s="36" t="s">
        <v>96</v>
      </c>
      <c r="B39" s="37" t="s">
        <v>3</v>
      </c>
      <c r="C39" s="38">
        <v>152208.46843999997</v>
      </c>
      <c r="D39" s="39">
        <v>0.27596908365554035</v>
      </c>
      <c r="E39" s="38">
        <v>194213.3</v>
      </c>
      <c r="F39" s="39">
        <v>-0.10394653713211176</v>
      </c>
      <c r="G39" s="38">
        <v>174025.50000000003</v>
      </c>
      <c r="H39" s="39">
        <v>-0.015744819006410143</v>
      </c>
      <c r="I39" s="40">
        <v>171285.5</v>
      </c>
    </row>
    <row r="40" spans="1:9" ht="12.75">
      <c r="A40" s="131" t="s">
        <v>0</v>
      </c>
      <c r="B40" s="29" t="s">
        <v>97</v>
      </c>
      <c r="C40" s="15">
        <v>32091.41980999947</v>
      </c>
      <c r="D40" s="16">
        <v>1.6724339561092554</v>
      </c>
      <c r="E40" s="15">
        <v>85762.19999999981</v>
      </c>
      <c r="F40" s="16">
        <v>0.10148876777882283</v>
      </c>
      <c r="G40" s="15">
        <v>94466.10000000075</v>
      </c>
      <c r="H40" s="16">
        <v>-0.0646972829406621</v>
      </c>
      <c r="I40" s="17">
        <v>88354.39999999982</v>
      </c>
    </row>
    <row r="41" spans="1:9" ht="12.75">
      <c r="A41" s="131" t="s">
        <v>0</v>
      </c>
      <c r="B41" s="29" t="s">
        <v>98</v>
      </c>
      <c r="C41" s="15">
        <v>-120117.0486300005</v>
      </c>
      <c r="D41" s="16">
        <v>-0.09712150575673256</v>
      </c>
      <c r="E41" s="15">
        <v>-108451.10000000018</v>
      </c>
      <c r="F41" s="16">
        <v>-0.26640301481497974</v>
      </c>
      <c r="G41" s="15">
        <v>-79559.39999999928</v>
      </c>
      <c r="H41" s="16">
        <v>0.0423796559551848</v>
      </c>
      <c r="I41" s="17">
        <v>-82931.10000000018</v>
      </c>
    </row>
    <row r="42" spans="1:9" ht="12.75">
      <c r="A42" s="141" t="s">
        <v>0</v>
      </c>
      <c r="B42" s="31" t="s">
        <v>99</v>
      </c>
      <c r="C42" s="20">
        <v>4081459.7887</v>
      </c>
      <c r="D42" s="129">
        <v>-0.002073299539402058</v>
      </c>
      <c r="E42" s="20">
        <v>4072997.7</v>
      </c>
      <c r="F42" s="129">
        <v>0.012747834353061474</v>
      </c>
      <c r="G42" s="20">
        <v>4124919.6000000006</v>
      </c>
      <c r="H42" s="129">
        <v>0.02251881466974527</v>
      </c>
      <c r="I42" s="21">
        <v>4217807.9</v>
      </c>
    </row>
    <row r="43" spans="1:9" ht="12.75">
      <c r="A43" s="141">
        <v>0</v>
      </c>
      <c r="B43" s="31" t="s">
        <v>5</v>
      </c>
      <c r="C43" s="66">
        <v>0.21083859616293157</v>
      </c>
      <c r="D43" s="142">
        <v>0</v>
      </c>
      <c r="E43" s="41">
        <v>0.44158767705404217</v>
      </c>
      <c r="F43" s="142">
        <v>0</v>
      </c>
      <c r="G43" s="41">
        <v>0.5428290681538093</v>
      </c>
      <c r="H43" s="142">
        <v>0</v>
      </c>
      <c r="I43" s="42">
        <v>0.5158311707645996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2.7109375" style="0" customWidth="1"/>
    <col min="3" max="3" width="12.28125" style="0" bestFit="1" customWidth="1"/>
    <col min="4" max="4" width="9.8515625" style="0" customWidth="1"/>
    <col min="5" max="5" width="12.28125" style="0" bestFit="1" customWidth="1"/>
    <col min="6" max="6" width="9.8515625" style="0" customWidth="1"/>
    <col min="7" max="7" width="12.28125" style="0" bestFit="1" customWidth="1"/>
    <col min="8" max="8" width="7.57421875" style="0" customWidth="1"/>
    <col min="9" max="9" width="12.28125" style="0" bestFit="1" customWidth="1"/>
  </cols>
  <sheetData>
    <row r="1" spans="1:9" ht="12.75">
      <c r="A1" s="5" t="s">
        <v>20</v>
      </c>
      <c r="B1" s="6" t="s">
        <v>168</v>
      </c>
      <c r="C1" s="57" t="s">
        <v>22</v>
      </c>
      <c r="D1" s="7" t="s">
        <v>23</v>
      </c>
      <c r="E1" s="57" t="s">
        <v>105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 t="s">
        <v>102</v>
      </c>
      <c r="F3" s="134">
        <v>0</v>
      </c>
      <c r="G3" s="135">
        <v>0</v>
      </c>
      <c r="H3" s="134">
        <v>0</v>
      </c>
      <c r="I3" s="115" t="s">
        <v>27</v>
      </c>
    </row>
    <row r="4" spans="1:9" ht="12.75">
      <c r="A4" s="5" t="s">
        <v>28</v>
      </c>
      <c r="B4" s="9" t="s">
        <v>29</v>
      </c>
      <c r="C4" s="10">
        <v>342731</v>
      </c>
      <c r="D4" s="11">
        <v>0.041764532534261566</v>
      </c>
      <c r="E4" s="10">
        <v>357045</v>
      </c>
      <c r="F4" s="11">
        <v>-0.03354759204021902</v>
      </c>
      <c r="G4" s="10">
        <v>345067</v>
      </c>
      <c r="H4" s="11"/>
      <c r="I4" s="12"/>
    </row>
    <row r="5" spans="1:9" ht="12.75">
      <c r="A5" s="13" t="s">
        <v>30</v>
      </c>
      <c r="B5" s="14" t="s">
        <v>31</v>
      </c>
      <c r="C5" s="15">
        <v>274508</v>
      </c>
      <c r="D5" s="16">
        <v>0.13217829717166713</v>
      </c>
      <c r="E5" s="15">
        <v>310792</v>
      </c>
      <c r="F5" s="16">
        <v>-0.035763468815156116</v>
      </c>
      <c r="G5" s="15">
        <v>299677</v>
      </c>
      <c r="H5" s="16"/>
      <c r="I5" s="17"/>
    </row>
    <row r="6" spans="1:9" ht="12.75">
      <c r="A6" s="13" t="s">
        <v>32</v>
      </c>
      <c r="B6" s="14" t="s">
        <v>33</v>
      </c>
      <c r="C6" s="15">
        <v>115220</v>
      </c>
      <c r="D6" s="16">
        <v>0.12950008679048777</v>
      </c>
      <c r="E6" s="15">
        <v>130141</v>
      </c>
      <c r="F6" s="16">
        <v>0.03676012939811435</v>
      </c>
      <c r="G6" s="15">
        <v>134925</v>
      </c>
      <c r="H6" s="16"/>
      <c r="I6" s="17"/>
    </row>
    <row r="7" spans="1:9" ht="12.75">
      <c r="A7" s="13" t="s">
        <v>34</v>
      </c>
      <c r="B7" s="14" t="s">
        <v>35</v>
      </c>
      <c r="C7" s="15">
        <v>8542</v>
      </c>
      <c r="D7" s="16">
        <v>-0.3268555373448841</v>
      </c>
      <c r="E7" s="15">
        <v>5750</v>
      </c>
      <c r="F7" s="16">
        <v>-0.05182608695652174</v>
      </c>
      <c r="G7" s="15">
        <v>5452</v>
      </c>
      <c r="H7" s="16"/>
      <c r="I7" s="17"/>
    </row>
    <row r="8" spans="1:9" ht="12.75">
      <c r="A8" s="13" t="s">
        <v>36</v>
      </c>
      <c r="B8" s="14" t="s">
        <v>37</v>
      </c>
      <c r="C8" s="15">
        <v>6793</v>
      </c>
      <c r="D8" s="16">
        <v>0.12586486088620638</v>
      </c>
      <c r="E8" s="15">
        <v>7648</v>
      </c>
      <c r="F8" s="16">
        <v>0.1912918410041841</v>
      </c>
      <c r="G8" s="15">
        <v>9111</v>
      </c>
      <c r="H8" s="16"/>
      <c r="I8" s="17"/>
    </row>
    <row r="9" spans="1:9" ht="12.75">
      <c r="A9" s="13" t="s">
        <v>38</v>
      </c>
      <c r="B9" s="14" t="s">
        <v>39</v>
      </c>
      <c r="C9" s="15">
        <v>188650</v>
      </c>
      <c r="D9" s="16">
        <v>-0.03155579114762788</v>
      </c>
      <c r="E9" s="15">
        <v>182697</v>
      </c>
      <c r="F9" s="16">
        <v>-0.09729223796778272</v>
      </c>
      <c r="G9" s="15">
        <v>164922</v>
      </c>
      <c r="H9" s="16"/>
      <c r="I9" s="17"/>
    </row>
    <row r="10" spans="1:9" ht="12.75">
      <c r="A10" s="13" t="s">
        <v>40</v>
      </c>
      <c r="B10" s="14" t="s">
        <v>41</v>
      </c>
      <c r="C10" s="15">
        <v>1278725</v>
      </c>
      <c r="D10" s="16">
        <v>0.10282664372715009</v>
      </c>
      <c r="E10" s="15">
        <v>1410212</v>
      </c>
      <c r="F10" s="16">
        <v>0.002874745073790324</v>
      </c>
      <c r="G10" s="15">
        <v>1414266</v>
      </c>
      <c r="H10" s="16"/>
      <c r="I10" s="17"/>
    </row>
    <row r="11" spans="1:9" ht="12.75">
      <c r="A11" s="13" t="s">
        <v>42</v>
      </c>
      <c r="B11" s="14" t="s">
        <v>43</v>
      </c>
      <c r="C11" s="15">
        <v>0</v>
      </c>
      <c r="D11" s="43" t="s">
        <v>48</v>
      </c>
      <c r="E11" s="15">
        <v>364</v>
      </c>
      <c r="F11" s="16">
        <v>0</v>
      </c>
      <c r="G11" s="15">
        <v>364</v>
      </c>
      <c r="H11" s="16"/>
      <c r="I11" s="17"/>
    </row>
    <row r="12" spans="1:9" ht="12.75">
      <c r="A12" s="13" t="s">
        <v>44</v>
      </c>
      <c r="B12" s="14" t="s">
        <v>45</v>
      </c>
      <c r="C12" s="15">
        <v>198518</v>
      </c>
      <c r="D12" s="43">
        <v>0.2946231575977997</v>
      </c>
      <c r="E12" s="15">
        <v>257006</v>
      </c>
      <c r="F12" s="16">
        <v>0.07146525762044466</v>
      </c>
      <c r="G12" s="15">
        <v>275373</v>
      </c>
      <c r="H12" s="16"/>
      <c r="I12" s="17"/>
    </row>
    <row r="13" spans="1:9" ht="12.75">
      <c r="A13" s="13" t="s">
        <v>46</v>
      </c>
      <c r="B13" s="14" t="s">
        <v>47</v>
      </c>
      <c r="C13" s="15">
        <v>214284</v>
      </c>
      <c r="D13" s="43">
        <v>0.06968789083646003</v>
      </c>
      <c r="E13" s="15">
        <v>229217</v>
      </c>
      <c r="F13" s="43">
        <v>-0.061788610792393235</v>
      </c>
      <c r="G13" s="15">
        <v>215054</v>
      </c>
      <c r="H13" s="43"/>
      <c r="I13" s="17"/>
    </row>
    <row r="14" spans="1:9" ht="12.75">
      <c r="A14" s="13" t="s">
        <v>49</v>
      </c>
      <c r="B14" s="14" t="s">
        <v>50</v>
      </c>
      <c r="C14" s="15">
        <v>0</v>
      </c>
      <c r="D14" s="43" t="s">
        <v>48</v>
      </c>
      <c r="E14" s="15">
        <v>0</v>
      </c>
      <c r="F14" s="16" t="s">
        <v>48</v>
      </c>
      <c r="G14" s="15">
        <v>0</v>
      </c>
      <c r="H14" s="16"/>
      <c r="I14" s="17"/>
    </row>
    <row r="15" spans="1:9" ht="12.75">
      <c r="A15" s="13" t="s">
        <v>51</v>
      </c>
      <c r="B15" s="14" t="s">
        <v>52</v>
      </c>
      <c r="C15" s="15">
        <v>157744</v>
      </c>
      <c r="D15" s="43">
        <v>0.03331980931128918</v>
      </c>
      <c r="E15" s="15">
        <v>163000</v>
      </c>
      <c r="F15" s="16">
        <v>0.03452147239263804</v>
      </c>
      <c r="G15" s="15">
        <v>168627</v>
      </c>
      <c r="H15" s="16"/>
      <c r="I15" s="17"/>
    </row>
    <row r="16" spans="1:9" ht="12.75">
      <c r="A16" s="13" t="s">
        <v>53</v>
      </c>
      <c r="B16" s="14" t="s">
        <v>54</v>
      </c>
      <c r="C16" s="15">
        <v>211110</v>
      </c>
      <c r="D16" s="43">
        <v>-0.005243711809009521</v>
      </c>
      <c r="E16" s="15">
        <v>210003</v>
      </c>
      <c r="F16" s="43">
        <v>-0.0114331700023333</v>
      </c>
      <c r="G16" s="15">
        <v>207602</v>
      </c>
      <c r="H16" s="43"/>
      <c r="I16" s="17"/>
    </row>
    <row r="17" spans="1:9" ht="12.75">
      <c r="A17" s="13" t="s">
        <v>55</v>
      </c>
      <c r="B17" s="14" t="s">
        <v>56</v>
      </c>
      <c r="C17" s="15">
        <v>14201</v>
      </c>
      <c r="D17" s="16">
        <v>-0.9797901556228434</v>
      </c>
      <c r="E17" s="15">
        <v>287</v>
      </c>
      <c r="F17" s="16">
        <v>35.498257839721255</v>
      </c>
      <c r="G17" s="15">
        <v>10475</v>
      </c>
      <c r="H17" s="16"/>
      <c r="I17" s="17"/>
    </row>
    <row r="18" spans="1:9" ht="12.75">
      <c r="A18" s="13">
        <v>389</v>
      </c>
      <c r="B18" s="14" t="s">
        <v>57</v>
      </c>
      <c r="C18" s="15">
        <v>0</v>
      </c>
      <c r="D18" s="43" t="s">
        <v>48</v>
      </c>
      <c r="E18" s="15">
        <v>0</v>
      </c>
      <c r="F18" s="43" t="s">
        <v>48</v>
      </c>
      <c r="G18" s="15">
        <v>0</v>
      </c>
      <c r="H18" s="43"/>
      <c r="I18" s="17"/>
    </row>
    <row r="19" spans="1:9" ht="12.75">
      <c r="A19" s="18" t="s">
        <v>58</v>
      </c>
      <c r="B19" s="19" t="s">
        <v>59</v>
      </c>
      <c r="C19" s="20">
        <v>462998</v>
      </c>
      <c r="D19" s="43">
        <v>-0.44407319254078853</v>
      </c>
      <c r="E19" s="20">
        <v>257393</v>
      </c>
      <c r="F19" s="43">
        <v>-0.09911302949186653</v>
      </c>
      <c r="G19" s="20">
        <v>231882</v>
      </c>
      <c r="H19" s="43"/>
      <c r="I19" s="21"/>
    </row>
    <row r="20" spans="1:9" ht="12.75">
      <c r="A20" s="22" t="s">
        <v>60</v>
      </c>
      <c r="B20" s="23" t="s">
        <v>61</v>
      </c>
      <c r="C20" s="24">
        <v>2577148</v>
      </c>
      <c r="D20" s="25">
        <v>-0.017586882864313574</v>
      </c>
      <c r="E20" s="24">
        <v>2531824</v>
      </c>
      <c r="F20" s="25">
        <v>-0.020132521059915698</v>
      </c>
      <c r="G20" s="24">
        <v>2480852</v>
      </c>
      <c r="H20" s="25"/>
      <c r="I20" s="26"/>
    </row>
    <row r="21" spans="1:9" ht="12.75">
      <c r="A21" s="27" t="s">
        <v>62</v>
      </c>
      <c r="B21" s="28" t="s">
        <v>63</v>
      </c>
      <c r="C21" s="10">
        <v>587093</v>
      </c>
      <c r="D21" s="16">
        <v>0.011287819817303221</v>
      </c>
      <c r="E21" s="10">
        <v>593720</v>
      </c>
      <c r="F21" s="16">
        <v>0.01452704978777875</v>
      </c>
      <c r="G21" s="10">
        <v>602345</v>
      </c>
      <c r="H21" s="16"/>
      <c r="I21" s="12"/>
    </row>
    <row r="22" spans="1:9" ht="12.75">
      <c r="A22" s="8" t="s">
        <v>64</v>
      </c>
      <c r="B22" s="29" t="s">
        <v>65</v>
      </c>
      <c r="C22" s="15">
        <v>87341</v>
      </c>
      <c r="D22" s="16">
        <v>-0.04927811680653989</v>
      </c>
      <c r="E22" s="15">
        <v>83037</v>
      </c>
      <c r="F22" s="16">
        <v>0.03500849019111962</v>
      </c>
      <c r="G22" s="15">
        <v>85944</v>
      </c>
      <c r="H22" s="16"/>
      <c r="I22" s="17"/>
    </row>
    <row r="23" spans="1:9" ht="12.75">
      <c r="A23" s="8" t="s">
        <v>66</v>
      </c>
      <c r="B23" s="29" t="s">
        <v>67</v>
      </c>
      <c r="C23" s="15">
        <v>134219</v>
      </c>
      <c r="D23" s="16">
        <v>-0.05605018663527518</v>
      </c>
      <c r="E23" s="15">
        <v>126696</v>
      </c>
      <c r="F23" s="16">
        <v>-0.04172191702974048</v>
      </c>
      <c r="G23" s="15">
        <v>121410</v>
      </c>
      <c r="H23" s="16"/>
      <c r="I23" s="17"/>
    </row>
    <row r="24" spans="1:9" ht="12.75">
      <c r="A24" s="8" t="s">
        <v>68</v>
      </c>
      <c r="B24" s="29" t="s">
        <v>69</v>
      </c>
      <c r="C24" s="15">
        <v>225182</v>
      </c>
      <c r="D24" s="16">
        <v>0.06655505324581894</v>
      </c>
      <c r="E24" s="15">
        <v>240169</v>
      </c>
      <c r="F24" s="16">
        <v>0.08746757491599665</v>
      </c>
      <c r="G24" s="15">
        <v>261176</v>
      </c>
      <c r="H24" s="16"/>
      <c r="I24" s="17"/>
    </row>
    <row r="25" spans="1:9" ht="12.75">
      <c r="A25" s="8" t="s">
        <v>70</v>
      </c>
      <c r="B25" s="29" t="s">
        <v>71</v>
      </c>
      <c r="C25" s="15">
        <v>1172376</v>
      </c>
      <c r="D25" s="16">
        <v>-0.018923109992016213</v>
      </c>
      <c r="E25" s="15">
        <v>1150191</v>
      </c>
      <c r="F25" s="16">
        <v>0.03621833243348278</v>
      </c>
      <c r="G25" s="15">
        <v>1191849</v>
      </c>
      <c r="H25" s="16"/>
      <c r="I25" s="17"/>
    </row>
    <row r="26" spans="1:9" ht="12.75">
      <c r="A26" s="59" t="s">
        <v>72</v>
      </c>
      <c r="B26" s="29" t="s">
        <v>73</v>
      </c>
      <c r="C26" s="15">
        <v>10827</v>
      </c>
      <c r="D26" s="16">
        <v>4.063175394846218</v>
      </c>
      <c r="E26" s="15">
        <v>54819</v>
      </c>
      <c r="F26" s="16">
        <v>-0.45285393750342035</v>
      </c>
      <c r="G26" s="15">
        <v>29994</v>
      </c>
      <c r="H26" s="16"/>
      <c r="I26" s="17"/>
    </row>
    <row r="27" spans="1:9" ht="12.75">
      <c r="A27" s="195">
        <v>489</v>
      </c>
      <c r="B27" s="29" t="s">
        <v>74</v>
      </c>
      <c r="C27" s="15">
        <v>0</v>
      </c>
      <c r="D27" s="16" t="s">
        <v>48</v>
      </c>
      <c r="E27" s="15">
        <v>0</v>
      </c>
      <c r="F27" s="16" t="s">
        <v>48</v>
      </c>
      <c r="G27" s="15">
        <v>0</v>
      </c>
      <c r="H27" s="16"/>
      <c r="I27" s="17"/>
    </row>
    <row r="28" spans="1:9" ht="12.75">
      <c r="A28" s="30" t="s">
        <v>75</v>
      </c>
      <c r="B28" s="31" t="s">
        <v>76</v>
      </c>
      <c r="C28" s="20">
        <v>462998</v>
      </c>
      <c r="D28" s="16">
        <v>-0.44407319254078853</v>
      </c>
      <c r="E28" s="20">
        <v>257393</v>
      </c>
      <c r="F28" s="16">
        <v>-0.09911302949186653</v>
      </c>
      <c r="G28" s="20">
        <v>231882</v>
      </c>
      <c r="H28" s="16"/>
      <c r="I28" s="21"/>
    </row>
    <row r="29" spans="1:9" ht="12.75">
      <c r="A29" s="51" t="s">
        <v>77</v>
      </c>
      <c r="B29" s="52" t="s">
        <v>78</v>
      </c>
      <c r="C29" s="24">
        <v>2680036</v>
      </c>
      <c r="D29" s="53">
        <v>-0.06492860543664339</v>
      </c>
      <c r="E29" s="24">
        <v>2506025</v>
      </c>
      <c r="F29" s="53">
        <v>0.00741213675043146</v>
      </c>
      <c r="G29" s="24">
        <v>2524600</v>
      </c>
      <c r="H29" s="54"/>
      <c r="I29" s="26"/>
    </row>
    <row r="30" spans="1:9" ht="12.75">
      <c r="A30" s="50" t="s">
        <v>79</v>
      </c>
      <c r="B30" s="32" t="s">
        <v>80</v>
      </c>
      <c r="C30" s="33">
        <v>102888</v>
      </c>
      <c r="D30" s="136">
        <v>0</v>
      </c>
      <c r="E30" s="33">
        <v>-25799</v>
      </c>
      <c r="F30" s="136">
        <v>0</v>
      </c>
      <c r="G30" s="34">
        <v>43748</v>
      </c>
      <c r="H30" s="137"/>
      <c r="I30" s="35"/>
    </row>
    <row r="31" spans="1:9" ht="12.75">
      <c r="A31" s="140">
        <v>0</v>
      </c>
      <c r="B31" s="28" t="s">
        <v>81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/>
      <c r="I31" s="139"/>
    </row>
    <row r="32" spans="1:9" ht="12.75">
      <c r="A32" s="59" t="s">
        <v>82</v>
      </c>
      <c r="B32" s="29" t="s">
        <v>83</v>
      </c>
      <c r="C32" s="15">
        <v>178596</v>
      </c>
      <c r="D32" s="16">
        <v>0.0754272212143609</v>
      </c>
      <c r="E32" s="15">
        <v>192067</v>
      </c>
      <c r="F32" s="16">
        <v>-0.1642603883019988</v>
      </c>
      <c r="G32" s="15">
        <v>160518</v>
      </c>
      <c r="H32" s="16"/>
      <c r="I32" s="17"/>
    </row>
    <row r="33" spans="1:9" ht="12.75">
      <c r="A33" s="59" t="s">
        <v>84</v>
      </c>
      <c r="B33" s="29" t="s">
        <v>85</v>
      </c>
      <c r="C33" s="15">
        <v>1561</v>
      </c>
      <c r="D33" s="16">
        <v>1.4778987828315182</v>
      </c>
      <c r="E33" s="15">
        <v>3868</v>
      </c>
      <c r="F33" s="16">
        <v>-0.05015511892450879</v>
      </c>
      <c r="G33" s="15">
        <v>3674</v>
      </c>
      <c r="H33" s="16"/>
      <c r="I33" s="17"/>
    </row>
    <row r="34" spans="1:9" ht="12.75">
      <c r="A34" s="8" t="s">
        <v>86</v>
      </c>
      <c r="B34" s="29" t="s">
        <v>87</v>
      </c>
      <c r="C34" s="15">
        <v>227634</v>
      </c>
      <c r="D34" s="16">
        <v>-0.12010068794644034</v>
      </c>
      <c r="E34" s="15">
        <v>200295</v>
      </c>
      <c r="F34" s="16">
        <v>0.0016026361117351905</v>
      </c>
      <c r="G34" s="15">
        <v>200616</v>
      </c>
      <c r="H34" s="16"/>
      <c r="I34" s="17"/>
    </row>
    <row r="35" spans="1:9" ht="12.75">
      <c r="A35" s="51" t="s">
        <v>88</v>
      </c>
      <c r="B35" s="52" t="s">
        <v>89</v>
      </c>
      <c r="C35" s="24">
        <v>407791</v>
      </c>
      <c r="D35" s="54">
        <v>-0.02835030689740578</v>
      </c>
      <c r="E35" s="24">
        <v>396230</v>
      </c>
      <c r="F35" s="54">
        <v>-0.07930242535900865</v>
      </c>
      <c r="G35" s="24">
        <v>364808</v>
      </c>
      <c r="H35" s="54"/>
      <c r="I35" s="26"/>
    </row>
    <row r="36" spans="1:9" ht="12.75">
      <c r="A36" s="8" t="s">
        <v>90</v>
      </c>
      <c r="B36" s="29" t="s">
        <v>91</v>
      </c>
      <c r="C36" s="15">
        <v>52</v>
      </c>
      <c r="D36" s="16">
        <v>-1</v>
      </c>
      <c r="E36" s="15">
        <v>0</v>
      </c>
      <c r="F36" s="16" t="s">
        <v>48</v>
      </c>
      <c r="G36" s="15">
        <v>0</v>
      </c>
      <c r="H36" s="16"/>
      <c r="I36" s="17"/>
    </row>
    <row r="37" spans="1:9" ht="12.75">
      <c r="A37" s="8" t="s">
        <v>92</v>
      </c>
      <c r="B37" s="29" t="s">
        <v>93</v>
      </c>
      <c r="C37" s="15">
        <v>211830</v>
      </c>
      <c r="D37" s="16">
        <v>-0.06877212859368362</v>
      </c>
      <c r="E37" s="15">
        <v>197262</v>
      </c>
      <c r="F37" s="16">
        <v>-0.03557198041183806</v>
      </c>
      <c r="G37" s="15">
        <v>190245</v>
      </c>
      <c r="H37" s="16"/>
      <c r="I37" s="17"/>
    </row>
    <row r="38" spans="1:9" ht="12.75">
      <c r="A38" s="51" t="s">
        <v>94</v>
      </c>
      <c r="B38" s="52" t="s">
        <v>95</v>
      </c>
      <c r="C38" s="24">
        <v>211882</v>
      </c>
      <c r="D38" s="54">
        <v>-0.05468609886635014</v>
      </c>
      <c r="E38" s="24">
        <v>200295</v>
      </c>
      <c r="F38" s="54">
        <v>0.0016026361117351905</v>
      </c>
      <c r="G38" s="24">
        <v>200616</v>
      </c>
      <c r="H38" s="54"/>
      <c r="I38" s="26"/>
    </row>
    <row r="39" spans="1:9" ht="12.75">
      <c r="A39" s="36" t="s">
        <v>96</v>
      </c>
      <c r="B39" s="37" t="s">
        <v>3</v>
      </c>
      <c r="C39" s="38">
        <v>195909</v>
      </c>
      <c r="D39" s="39">
        <v>0.00013271467875391126</v>
      </c>
      <c r="E39" s="38">
        <v>195935</v>
      </c>
      <c r="F39" s="39">
        <v>-0.16200780871207288</v>
      </c>
      <c r="G39" s="38">
        <v>164192</v>
      </c>
      <c r="H39" s="39"/>
      <c r="I39" s="40"/>
    </row>
    <row r="40" spans="1:9" ht="12.75">
      <c r="A40" s="131" t="s">
        <v>0</v>
      </c>
      <c r="B40" s="29" t="s">
        <v>97</v>
      </c>
      <c r="C40" s="15">
        <v>291538</v>
      </c>
      <c r="D40" s="16">
        <v>-0.46182658864367593</v>
      </c>
      <c r="E40" s="15">
        <v>156898</v>
      </c>
      <c r="F40" s="16">
        <v>0.32997233871687337</v>
      </c>
      <c r="G40" s="15">
        <v>208670</v>
      </c>
      <c r="H40" s="16"/>
      <c r="I40" s="17"/>
    </row>
    <row r="41" spans="1:9" ht="12.75">
      <c r="A41" s="131" t="s">
        <v>0</v>
      </c>
      <c r="B41" s="29" t="s">
        <v>98</v>
      </c>
      <c r="C41" s="15">
        <v>95629</v>
      </c>
      <c r="D41" s="16">
        <v>-1.408212989783434</v>
      </c>
      <c r="E41" s="15">
        <v>-39037</v>
      </c>
      <c r="F41" s="16">
        <v>-2.1393805876476164</v>
      </c>
      <c r="G41" s="15">
        <v>44478</v>
      </c>
      <c r="H41" s="16"/>
      <c r="I41" s="17"/>
    </row>
    <row r="42" spans="1:9" ht="12.75">
      <c r="A42" s="141" t="s">
        <v>0</v>
      </c>
      <c r="B42" s="31" t="s">
        <v>99</v>
      </c>
      <c r="C42" s="20">
        <v>2312297</v>
      </c>
      <c r="D42" s="129">
        <v>0.0725391245155791</v>
      </c>
      <c r="E42" s="20">
        <v>2480029</v>
      </c>
      <c r="F42" s="129">
        <v>-0.020467099376660514</v>
      </c>
      <c r="G42" s="20">
        <v>2429270</v>
      </c>
      <c r="H42" s="129"/>
      <c r="I42" s="21"/>
    </row>
    <row r="43" spans="1:9" ht="12.75">
      <c r="A43" s="141">
        <v>0</v>
      </c>
      <c r="B43" s="31" t="s">
        <v>5</v>
      </c>
      <c r="C43" s="66">
        <v>1.4881296928676069</v>
      </c>
      <c r="D43" s="142">
        <v>0</v>
      </c>
      <c r="E43" s="41">
        <v>0.8007655600071453</v>
      </c>
      <c r="F43" s="142">
        <v>0</v>
      </c>
      <c r="G43" s="41">
        <v>1.2708901773533425</v>
      </c>
      <c r="H43" s="142"/>
      <c r="I43" s="4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86"/>
  <sheetViews>
    <sheetView zoomScale="115" zoomScaleNormal="115" zoomScalePageLayoutView="0" workbookViewId="0" topLeftCell="A1">
      <selection activeCell="A1" sqref="A1:G186"/>
    </sheetView>
  </sheetViews>
  <sheetFormatPr defaultColWidth="11.421875" defaultRowHeight="12.75"/>
  <cols>
    <col min="1" max="1" width="16.7109375" style="252" customWidth="1"/>
    <col min="2" max="2" width="3.7109375" style="252" customWidth="1"/>
    <col min="3" max="3" width="39.7109375" style="252" customWidth="1"/>
    <col min="4" max="4" width="12.7109375" style="252" customWidth="1"/>
    <col min="5" max="5" width="11.421875" style="252" customWidth="1"/>
    <col min="6" max="6" width="12.7109375" style="252" customWidth="1"/>
    <col min="7" max="16384" width="11.421875" style="252" customWidth="1"/>
  </cols>
  <sheetData>
    <row r="1" spans="1:55" s="243" customFormat="1" ht="18" customHeight="1">
      <c r="A1" s="237" t="s">
        <v>220</v>
      </c>
      <c r="B1" s="532" t="s">
        <v>665</v>
      </c>
      <c r="C1" s="532" t="s">
        <v>168</v>
      </c>
      <c r="D1" s="241" t="s">
        <v>22</v>
      </c>
      <c r="E1" s="240" t="s">
        <v>105</v>
      </c>
      <c r="F1" s="241" t="s">
        <v>22</v>
      </c>
      <c r="G1" s="240" t="s">
        <v>105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7" s="249" customFormat="1" ht="15" customHeight="1">
      <c r="A2" s="244"/>
      <c r="B2" s="245"/>
      <c r="C2" s="246" t="s">
        <v>222</v>
      </c>
      <c r="D2" s="248">
        <v>2011</v>
      </c>
      <c r="E2" s="247">
        <v>2012</v>
      </c>
      <c r="F2" s="248">
        <v>2012</v>
      </c>
      <c r="G2" s="247">
        <v>2013</v>
      </c>
    </row>
    <row r="3" spans="1:7" ht="15" customHeight="1">
      <c r="A3" s="609" t="s">
        <v>223</v>
      </c>
      <c r="B3" s="610"/>
      <c r="C3" s="610"/>
      <c r="D3" s="250"/>
      <c r="F3" s="250"/>
      <c r="G3" s="253" t="s">
        <v>103</v>
      </c>
    </row>
    <row r="4" spans="1:7" s="260" customFormat="1" ht="12.75" customHeight="1">
      <c r="A4" s="479">
        <v>30</v>
      </c>
      <c r="B4" s="480"/>
      <c r="C4" s="256" t="s">
        <v>29</v>
      </c>
      <c r="D4" s="257"/>
      <c r="E4" s="257"/>
      <c r="F4" s="257"/>
      <c r="G4" s="259">
        <v>358527</v>
      </c>
    </row>
    <row r="5" spans="1:7" s="260" customFormat="1" ht="12.75" customHeight="1">
      <c r="A5" s="261">
        <v>31</v>
      </c>
      <c r="B5" s="262"/>
      <c r="C5" s="263" t="s">
        <v>224</v>
      </c>
      <c r="D5" s="264"/>
      <c r="E5" s="264"/>
      <c r="F5" s="275"/>
      <c r="G5" s="267">
        <v>316093</v>
      </c>
    </row>
    <row r="6" spans="1:7" s="260" customFormat="1" ht="12.75" customHeight="1">
      <c r="A6" s="268" t="s">
        <v>32</v>
      </c>
      <c r="B6" s="269"/>
      <c r="C6" s="270" t="s">
        <v>225</v>
      </c>
      <c r="D6" s="271"/>
      <c r="E6" s="271"/>
      <c r="F6" s="271"/>
      <c r="G6" s="273">
        <v>126406</v>
      </c>
    </row>
    <row r="7" spans="1:7" s="260" customFormat="1" ht="12.75" customHeight="1">
      <c r="A7" s="268" t="s">
        <v>226</v>
      </c>
      <c r="B7" s="269"/>
      <c r="C7" s="270" t="s">
        <v>227</v>
      </c>
      <c r="D7" s="271"/>
      <c r="E7" s="271"/>
      <c r="F7" s="271"/>
      <c r="G7" s="273">
        <v>8229</v>
      </c>
    </row>
    <row r="8" spans="1:7" s="260" customFormat="1" ht="12.75" customHeight="1">
      <c r="A8" s="274">
        <v>330</v>
      </c>
      <c r="B8" s="262"/>
      <c r="C8" s="263" t="s">
        <v>228</v>
      </c>
      <c r="D8" s="275"/>
      <c r="E8" s="275"/>
      <c r="F8" s="275"/>
      <c r="G8" s="276">
        <v>81952</v>
      </c>
    </row>
    <row r="9" spans="1:7" s="260" customFormat="1" ht="12.75" customHeight="1">
      <c r="A9" s="274">
        <v>332</v>
      </c>
      <c r="B9" s="262"/>
      <c r="C9" s="263" t="s">
        <v>229</v>
      </c>
      <c r="D9" s="275"/>
      <c r="E9" s="275"/>
      <c r="F9" s="275"/>
      <c r="G9" s="276">
        <v>3286</v>
      </c>
    </row>
    <row r="10" spans="1:7" s="260" customFormat="1" ht="12.75" customHeight="1">
      <c r="A10" s="274">
        <v>339</v>
      </c>
      <c r="B10" s="262"/>
      <c r="C10" s="263" t="s">
        <v>230</v>
      </c>
      <c r="D10" s="275">
        <v>0</v>
      </c>
      <c r="E10" s="275">
        <v>0</v>
      </c>
      <c r="F10" s="275">
        <v>0</v>
      </c>
      <c r="G10" s="276"/>
    </row>
    <row r="11" spans="1:7" s="260" customFormat="1" ht="12.75" customHeight="1">
      <c r="A11" s="261">
        <v>350</v>
      </c>
      <c r="B11" s="262"/>
      <c r="C11" s="263" t="s">
        <v>231</v>
      </c>
      <c r="D11" s="275">
        <v>0</v>
      </c>
      <c r="E11" s="275"/>
      <c r="F11" s="275"/>
      <c r="G11" s="277">
        <v>591</v>
      </c>
    </row>
    <row r="12" spans="1:7" s="285" customFormat="1" ht="12.75">
      <c r="A12" s="278">
        <v>351</v>
      </c>
      <c r="B12" s="279"/>
      <c r="C12" s="280" t="s">
        <v>232</v>
      </c>
      <c r="D12" s="282"/>
      <c r="E12" s="282"/>
      <c r="F12" s="282"/>
      <c r="G12" s="482">
        <v>484</v>
      </c>
    </row>
    <row r="13" spans="1:7" s="260" customFormat="1" ht="12.75" customHeight="1">
      <c r="A13" s="261">
        <v>36</v>
      </c>
      <c r="B13" s="262"/>
      <c r="C13" s="263" t="s">
        <v>233</v>
      </c>
      <c r="D13" s="271"/>
      <c r="E13" s="323"/>
      <c r="F13" s="271"/>
      <c r="G13" s="276">
        <v>1130122</v>
      </c>
    </row>
    <row r="14" spans="1:7" s="260" customFormat="1" ht="12.75" customHeight="1">
      <c r="A14" s="287" t="s">
        <v>234</v>
      </c>
      <c r="B14" s="262"/>
      <c r="C14" s="288" t="s">
        <v>235</v>
      </c>
      <c r="D14" s="271"/>
      <c r="E14" s="323"/>
      <c r="F14" s="271"/>
      <c r="G14" s="276">
        <v>253275</v>
      </c>
    </row>
    <row r="15" spans="1:7" s="260" customFormat="1" ht="12.75" customHeight="1">
      <c r="A15" s="287" t="s">
        <v>236</v>
      </c>
      <c r="B15" s="262"/>
      <c r="C15" s="288" t="s">
        <v>237</v>
      </c>
      <c r="D15" s="271"/>
      <c r="E15" s="323"/>
      <c r="F15" s="271"/>
      <c r="G15" s="276">
        <v>19909</v>
      </c>
    </row>
    <row r="16" spans="1:7" s="297" customFormat="1" ht="26.25" customHeight="1">
      <c r="A16" s="287" t="s">
        <v>238</v>
      </c>
      <c r="B16" s="483"/>
      <c r="C16" s="288" t="s">
        <v>239</v>
      </c>
      <c r="D16" s="293"/>
      <c r="E16" s="294"/>
      <c r="F16" s="293"/>
      <c r="G16" s="296">
        <v>80275</v>
      </c>
    </row>
    <row r="17" spans="1:7" s="299" customFormat="1" ht="12.75">
      <c r="A17" s="261">
        <v>37</v>
      </c>
      <c r="B17" s="262"/>
      <c r="C17" s="263" t="s">
        <v>240</v>
      </c>
      <c r="D17" s="316"/>
      <c r="E17" s="264"/>
      <c r="F17" s="316"/>
      <c r="G17" s="298">
        <v>388137</v>
      </c>
    </row>
    <row r="18" spans="1:7" s="299" customFormat="1" ht="12.75">
      <c r="A18" s="322" t="s">
        <v>241</v>
      </c>
      <c r="B18" s="269"/>
      <c r="C18" s="270" t="s">
        <v>242</v>
      </c>
      <c r="D18" s="485"/>
      <c r="E18" s="323"/>
      <c r="F18" s="485"/>
      <c r="G18" s="298">
        <v>163000</v>
      </c>
    </row>
    <row r="19" spans="1:7" s="299" customFormat="1" ht="12.75">
      <c r="A19" s="322" t="s">
        <v>243</v>
      </c>
      <c r="B19" s="269"/>
      <c r="C19" s="270" t="s">
        <v>244</v>
      </c>
      <c r="D19" s="485"/>
      <c r="E19" s="323"/>
      <c r="F19" s="485"/>
      <c r="G19" s="298">
        <v>200396</v>
      </c>
    </row>
    <row r="20" spans="1:7" s="260" customFormat="1" ht="12.75" customHeight="1">
      <c r="A20" s="301">
        <v>39</v>
      </c>
      <c r="B20" s="302"/>
      <c r="C20" s="303" t="s">
        <v>245</v>
      </c>
      <c r="D20" s="306"/>
      <c r="E20" s="304"/>
      <c r="F20" s="306">
        <v>0</v>
      </c>
      <c r="G20" s="308">
        <v>154324</v>
      </c>
    </row>
    <row r="21" spans="1:7" ht="12.75" customHeight="1">
      <c r="A21" s="309"/>
      <c r="B21" s="309"/>
      <c r="C21" s="310" t="s">
        <v>246</v>
      </c>
      <c r="D21" s="311">
        <f>D4+D5+SUM(D8:D13)+D17</f>
        <v>0</v>
      </c>
      <c r="E21" s="311">
        <f>E4+E5+SUM(E8:E13)+E17</f>
        <v>0</v>
      </c>
      <c r="F21" s="311">
        <f>F4+F5+SUM(F8:F13)+F17</f>
        <v>0</v>
      </c>
      <c r="G21" s="311">
        <f>G4+G5+SUM(G8:G13)+G17</f>
        <v>2279192</v>
      </c>
    </row>
    <row r="22" spans="1:7" s="260" customFormat="1" ht="12.75" customHeight="1">
      <c r="A22" s="274" t="s">
        <v>247</v>
      </c>
      <c r="B22" s="262"/>
      <c r="C22" s="263" t="s">
        <v>248</v>
      </c>
      <c r="D22" s="275"/>
      <c r="E22" s="275"/>
      <c r="F22" s="275"/>
      <c r="G22" s="276">
        <v>555150</v>
      </c>
    </row>
    <row r="23" spans="1:7" s="260" customFormat="1" ht="12.75" customHeight="1">
      <c r="A23" s="274" t="s">
        <v>249</v>
      </c>
      <c r="B23" s="262"/>
      <c r="C23" s="263" t="s">
        <v>250</v>
      </c>
      <c r="D23" s="275"/>
      <c r="E23" s="275"/>
      <c r="F23" s="275"/>
      <c r="G23" s="276">
        <v>124375</v>
      </c>
    </row>
    <row r="24" spans="1:7" s="313" customFormat="1" ht="12.75" customHeight="1">
      <c r="A24" s="261">
        <v>41</v>
      </c>
      <c r="B24" s="262"/>
      <c r="C24" s="263" t="s">
        <v>251</v>
      </c>
      <c r="D24" s="275"/>
      <c r="E24" s="275"/>
      <c r="F24" s="275"/>
      <c r="G24" s="276">
        <v>67960</v>
      </c>
    </row>
    <row r="25" spans="1:7" s="260" customFormat="1" ht="12.75" customHeight="1">
      <c r="A25" s="314">
        <v>42</v>
      </c>
      <c r="B25" s="315"/>
      <c r="C25" s="263" t="s">
        <v>252</v>
      </c>
      <c r="D25" s="275"/>
      <c r="E25" s="275"/>
      <c r="F25" s="275"/>
      <c r="G25" s="276">
        <v>153350</v>
      </c>
    </row>
    <row r="26" spans="1:7" s="318" customFormat="1" ht="12.75" customHeight="1">
      <c r="A26" s="278">
        <v>430</v>
      </c>
      <c r="B26" s="262"/>
      <c r="C26" s="263" t="s">
        <v>253</v>
      </c>
      <c r="D26" s="316"/>
      <c r="E26" s="316"/>
      <c r="F26" s="316"/>
      <c r="G26" s="298">
        <v>1952</v>
      </c>
    </row>
    <row r="27" spans="1:7" s="318" customFormat="1" ht="12.75" customHeight="1">
      <c r="A27" s="278">
        <v>431</v>
      </c>
      <c r="B27" s="262"/>
      <c r="C27" s="263" t="s">
        <v>254</v>
      </c>
      <c r="D27" s="316"/>
      <c r="E27" s="316"/>
      <c r="F27" s="316"/>
      <c r="G27" s="298">
        <v>1696</v>
      </c>
    </row>
    <row r="28" spans="1:7" s="318" customFormat="1" ht="12.75" customHeight="1">
      <c r="A28" s="278">
        <v>432</v>
      </c>
      <c r="B28" s="262"/>
      <c r="C28" s="263" t="s">
        <v>255</v>
      </c>
      <c r="D28" s="316"/>
      <c r="E28" s="316"/>
      <c r="F28" s="316"/>
      <c r="G28" s="298">
        <v>0</v>
      </c>
    </row>
    <row r="29" spans="1:7" s="318" customFormat="1" ht="12.75" customHeight="1">
      <c r="A29" s="278">
        <v>439</v>
      </c>
      <c r="B29" s="262"/>
      <c r="C29" s="263" t="s">
        <v>256</v>
      </c>
      <c r="D29" s="316"/>
      <c r="E29" s="316"/>
      <c r="F29" s="316"/>
      <c r="G29" s="298">
        <v>854</v>
      </c>
    </row>
    <row r="30" spans="1:7" s="260" customFormat="1" ht="25.5">
      <c r="A30" s="278">
        <v>450</v>
      </c>
      <c r="B30" s="279"/>
      <c r="C30" s="280" t="s">
        <v>257</v>
      </c>
      <c r="D30" s="264">
        <v>0</v>
      </c>
      <c r="E30" s="264">
        <v>0</v>
      </c>
      <c r="F30" s="264">
        <v>0</v>
      </c>
      <c r="G30" s="319">
        <v>2209</v>
      </c>
    </row>
    <row r="31" spans="1:7" s="285" customFormat="1" ht="25.5">
      <c r="A31" s="278">
        <v>451</v>
      </c>
      <c r="B31" s="279"/>
      <c r="C31" s="280" t="s">
        <v>258</v>
      </c>
      <c r="D31" s="281"/>
      <c r="E31" s="281"/>
      <c r="F31" s="281"/>
      <c r="G31" s="276">
        <v>53958</v>
      </c>
    </row>
    <row r="32" spans="1:7" s="260" customFormat="1" ht="12.75" customHeight="1">
      <c r="A32" s="261">
        <v>46</v>
      </c>
      <c r="B32" s="262"/>
      <c r="C32" s="263" t="s">
        <v>259</v>
      </c>
      <c r="D32" s="275"/>
      <c r="E32" s="275"/>
      <c r="F32" s="275"/>
      <c r="G32" s="276">
        <v>780426</v>
      </c>
    </row>
    <row r="33" spans="1:7" s="285" customFormat="1" ht="12.75" customHeight="1">
      <c r="A33" s="322" t="s">
        <v>260</v>
      </c>
      <c r="B33" s="269"/>
      <c r="C33" s="270" t="s">
        <v>261</v>
      </c>
      <c r="D33" s="271"/>
      <c r="E33" s="275"/>
      <c r="F33" s="271"/>
      <c r="G33" s="273">
        <v>0</v>
      </c>
    </row>
    <row r="34" spans="1:7" s="260" customFormat="1" ht="15" customHeight="1">
      <c r="A34" s="261">
        <v>47</v>
      </c>
      <c r="B34" s="262"/>
      <c r="C34" s="263" t="s">
        <v>240</v>
      </c>
      <c r="D34" s="275"/>
      <c r="E34" s="275"/>
      <c r="F34" s="275"/>
      <c r="G34" s="276">
        <v>388137</v>
      </c>
    </row>
    <row r="35" spans="1:7" s="260" customFormat="1" ht="15" customHeight="1">
      <c r="A35" s="301">
        <v>49</v>
      </c>
      <c r="B35" s="302"/>
      <c r="C35" s="303" t="s">
        <v>262</v>
      </c>
      <c r="D35" s="306"/>
      <c r="E35" s="304"/>
      <c r="F35" s="306"/>
      <c r="G35" s="308">
        <v>154324</v>
      </c>
    </row>
    <row r="36" spans="1:7" ht="13.5" customHeight="1">
      <c r="A36" s="309"/>
      <c r="B36" s="335"/>
      <c r="C36" s="310" t="s">
        <v>263</v>
      </c>
      <c r="D36" s="311">
        <f>D22+D23+D24+D25+D26+D27+D28+D29+D30+D31+D32+D34</f>
        <v>0</v>
      </c>
      <c r="E36" s="311">
        <f>E22+E23+E24+E25+E26+E27+E28+E29+E30+E31+E32+E34</f>
        <v>0</v>
      </c>
      <c r="F36" s="311">
        <f>F22+F23+F24+F25+F26+F27+F28+F29+F30+F31+F32+F34</f>
        <v>0</v>
      </c>
      <c r="G36" s="311">
        <f>G22+G23+G24+G25+G26+G27+G28+G29+G30+G31+G32+G34</f>
        <v>2130067</v>
      </c>
    </row>
    <row r="37" spans="1:7" s="487" customFormat="1" ht="15" customHeight="1">
      <c r="A37" s="309"/>
      <c r="B37" s="335"/>
      <c r="C37" s="310" t="s">
        <v>264</v>
      </c>
      <c r="D37" s="311">
        <f>D36-D21</f>
        <v>0</v>
      </c>
      <c r="E37" s="311">
        <f>E36-E21</f>
        <v>0</v>
      </c>
      <c r="F37" s="311">
        <f>F36-F21</f>
        <v>0</v>
      </c>
      <c r="G37" s="311">
        <f>G36-G21</f>
        <v>-149125</v>
      </c>
    </row>
    <row r="38" spans="1:7" s="285" customFormat="1" ht="15" customHeight="1">
      <c r="A38" s="274">
        <v>340</v>
      </c>
      <c r="B38" s="262"/>
      <c r="C38" s="263" t="s">
        <v>265</v>
      </c>
      <c r="D38" s="275"/>
      <c r="E38" s="264"/>
      <c r="F38" s="275"/>
      <c r="G38" s="276">
        <v>2482</v>
      </c>
    </row>
    <row r="39" spans="1:7" s="285" customFormat="1" ht="15" customHeight="1">
      <c r="A39" s="274">
        <v>341</v>
      </c>
      <c r="B39" s="262"/>
      <c r="C39" s="263" t="s">
        <v>266</v>
      </c>
      <c r="D39" s="275"/>
      <c r="E39" s="275"/>
      <c r="F39" s="275"/>
      <c r="G39" s="276">
        <v>5</v>
      </c>
    </row>
    <row r="40" spans="1:7" s="285" customFormat="1" ht="15" customHeight="1">
      <c r="A40" s="274">
        <v>342</v>
      </c>
      <c r="B40" s="262"/>
      <c r="C40" s="263" t="s">
        <v>267</v>
      </c>
      <c r="D40" s="275"/>
      <c r="E40" s="275"/>
      <c r="F40" s="275"/>
      <c r="G40" s="276">
        <v>1007</v>
      </c>
    </row>
    <row r="41" spans="1:7" s="285" customFormat="1" ht="15" customHeight="1">
      <c r="A41" s="274">
        <v>343</v>
      </c>
      <c r="B41" s="262"/>
      <c r="C41" s="263" t="s">
        <v>268</v>
      </c>
      <c r="D41" s="275"/>
      <c r="E41" s="275"/>
      <c r="F41" s="275"/>
      <c r="G41" s="276">
        <v>568</v>
      </c>
    </row>
    <row r="42" spans="1:7" s="285" customFormat="1" ht="15" customHeight="1">
      <c r="A42" s="274">
        <v>344</v>
      </c>
      <c r="B42" s="262"/>
      <c r="C42" s="263" t="s">
        <v>269</v>
      </c>
      <c r="D42" s="275"/>
      <c r="E42" s="275"/>
      <c r="F42" s="275"/>
      <c r="G42" s="276">
        <v>0</v>
      </c>
    </row>
    <row r="43" spans="1:7" s="285" customFormat="1" ht="15" customHeight="1">
      <c r="A43" s="274">
        <v>349</v>
      </c>
      <c r="B43" s="262"/>
      <c r="C43" s="263" t="s">
        <v>270</v>
      </c>
      <c r="D43" s="275"/>
      <c r="E43" s="275"/>
      <c r="F43" s="275"/>
      <c r="G43" s="276">
        <v>0</v>
      </c>
    </row>
    <row r="44" spans="1:7" s="260" customFormat="1" ht="15" customHeight="1">
      <c r="A44" s="261">
        <v>440</v>
      </c>
      <c r="B44" s="262"/>
      <c r="C44" s="263" t="s">
        <v>271</v>
      </c>
      <c r="D44" s="275"/>
      <c r="E44" s="264"/>
      <c r="F44" s="275"/>
      <c r="G44" s="276">
        <v>8574</v>
      </c>
    </row>
    <row r="45" spans="1:7" s="260" customFormat="1" ht="15" customHeight="1">
      <c r="A45" s="261">
        <v>441</v>
      </c>
      <c r="B45" s="262"/>
      <c r="C45" s="263" t="s">
        <v>272</v>
      </c>
      <c r="D45" s="275"/>
      <c r="E45" s="264"/>
      <c r="F45" s="275"/>
      <c r="G45" s="276">
        <v>0</v>
      </c>
    </row>
    <row r="46" spans="1:7" s="260" customFormat="1" ht="15" customHeight="1">
      <c r="A46" s="261">
        <v>442</v>
      </c>
      <c r="B46" s="262"/>
      <c r="C46" s="263" t="s">
        <v>273</v>
      </c>
      <c r="D46" s="275"/>
      <c r="E46" s="264"/>
      <c r="F46" s="275"/>
      <c r="G46" s="276">
        <v>16795</v>
      </c>
    </row>
    <row r="47" spans="1:7" s="260" customFormat="1" ht="15" customHeight="1">
      <c r="A47" s="261">
        <v>443</v>
      </c>
      <c r="B47" s="262"/>
      <c r="C47" s="263" t="s">
        <v>274</v>
      </c>
      <c r="D47" s="275"/>
      <c r="E47" s="264"/>
      <c r="F47" s="275"/>
      <c r="G47" s="276">
        <v>1892</v>
      </c>
    </row>
    <row r="48" spans="1:7" s="260" customFormat="1" ht="15" customHeight="1">
      <c r="A48" s="261">
        <v>444</v>
      </c>
      <c r="B48" s="262"/>
      <c r="C48" s="263" t="s">
        <v>269</v>
      </c>
      <c r="D48" s="275"/>
      <c r="E48" s="264"/>
      <c r="F48" s="275"/>
      <c r="G48" s="276">
        <v>0</v>
      </c>
    </row>
    <row r="49" spans="1:7" s="260" customFormat="1" ht="15" customHeight="1">
      <c r="A49" s="261">
        <v>445</v>
      </c>
      <c r="B49" s="262"/>
      <c r="C49" s="263" t="s">
        <v>275</v>
      </c>
      <c r="D49" s="275"/>
      <c r="E49" s="264"/>
      <c r="F49" s="275"/>
      <c r="G49" s="276">
        <v>308</v>
      </c>
    </row>
    <row r="50" spans="1:7" s="260" customFormat="1" ht="15" customHeight="1">
      <c r="A50" s="261">
        <v>446</v>
      </c>
      <c r="B50" s="262"/>
      <c r="C50" s="263" t="s">
        <v>276</v>
      </c>
      <c r="D50" s="275"/>
      <c r="E50" s="264"/>
      <c r="F50" s="275"/>
      <c r="G50" s="276">
        <v>69000</v>
      </c>
    </row>
    <row r="51" spans="1:7" s="260" customFormat="1" ht="15" customHeight="1">
      <c r="A51" s="261">
        <v>447</v>
      </c>
      <c r="B51" s="262"/>
      <c r="C51" s="263" t="s">
        <v>277</v>
      </c>
      <c r="D51" s="275"/>
      <c r="E51" s="264"/>
      <c r="F51" s="275"/>
      <c r="G51" s="276">
        <v>4104</v>
      </c>
    </row>
    <row r="52" spans="1:7" s="260" customFormat="1" ht="15" customHeight="1">
      <c r="A52" s="261">
        <v>448</v>
      </c>
      <c r="B52" s="262"/>
      <c r="C52" s="263" t="s">
        <v>278</v>
      </c>
      <c r="D52" s="275"/>
      <c r="E52" s="264"/>
      <c r="F52" s="275"/>
      <c r="G52" s="276">
        <v>0</v>
      </c>
    </row>
    <row r="53" spans="1:7" s="260" customFormat="1" ht="15" customHeight="1">
      <c r="A53" s="261">
        <v>449</v>
      </c>
      <c r="B53" s="262"/>
      <c r="C53" s="263" t="s">
        <v>279</v>
      </c>
      <c r="D53" s="275"/>
      <c r="E53" s="264"/>
      <c r="F53" s="275"/>
      <c r="G53" s="276">
        <v>0</v>
      </c>
    </row>
    <row r="54" spans="1:7" s="285" customFormat="1" ht="13.5" customHeight="1">
      <c r="A54" s="329" t="s">
        <v>280</v>
      </c>
      <c r="B54" s="330"/>
      <c r="C54" s="330" t="s">
        <v>281</v>
      </c>
      <c r="D54" s="332"/>
      <c r="E54" s="331"/>
      <c r="F54" s="332"/>
      <c r="G54" s="334">
        <v>0</v>
      </c>
    </row>
    <row r="55" spans="1:7" ht="15" customHeight="1">
      <c r="A55" s="335"/>
      <c r="B55" s="335"/>
      <c r="C55" s="310" t="s">
        <v>282</v>
      </c>
      <c r="D55" s="311">
        <f>SUM(D44:D53)-SUM(D38:D43)</f>
        <v>0</v>
      </c>
      <c r="E55" s="311">
        <f>SUM(E44:E53)-SUM(E38:E43)</f>
        <v>0</v>
      </c>
      <c r="F55" s="311">
        <f>SUM(F44:F53)-SUM(F38:F43)</f>
        <v>0</v>
      </c>
      <c r="G55" s="311">
        <f>SUM(G44:G53)-SUM(G38:G43)</f>
        <v>96611</v>
      </c>
    </row>
    <row r="56" spans="1:7" ht="14.25" customHeight="1">
      <c r="A56" s="335"/>
      <c r="B56" s="335"/>
      <c r="C56" s="310" t="s">
        <v>283</v>
      </c>
      <c r="D56" s="311">
        <f>D55+D37</f>
        <v>0</v>
      </c>
      <c r="E56" s="311">
        <f>E55+E37</f>
        <v>0</v>
      </c>
      <c r="F56" s="311">
        <f>F55+F37</f>
        <v>0</v>
      </c>
      <c r="G56" s="311">
        <f>G55+G37</f>
        <v>-52514</v>
      </c>
    </row>
    <row r="57" spans="1:7" s="260" customFormat="1" ht="15.75" customHeight="1">
      <c r="A57" s="336">
        <v>380</v>
      </c>
      <c r="B57" s="337"/>
      <c r="C57" s="338" t="s">
        <v>284</v>
      </c>
      <c r="D57" s="340"/>
      <c r="E57" s="339"/>
      <c r="F57" s="340"/>
      <c r="G57" s="499">
        <v>0</v>
      </c>
    </row>
    <row r="58" spans="1:7" s="260" customFormat="1" ht="15.75" customHeight="1">
      <c r="A58" s="336">
        <v>381</v>
      </c>
      <c r="B58" s="337"/>
      <c r="C58" s="338" t="s">
        <v>285</v>
      </c>
      <c r="D58" s="340"/>
      <c r="E58" s="339"/>
      <c r="F58" s="340"/>
      <c r="G58" s="499">
        <v>0</v>
      </c>
    </row>
    <row r="59" spans="1:7" s="285" customFormat="1" ht="25.5">
      <c r="A59" s="278">
        <v>383</v>
      </c>
      <c r="B59" s="279"/>
      <c r="C59" s="280" t="s">
        <v>286</v>
      </c>
      <c r="D59" s="344"/>
      <c r="E59" s="343"/>
      <c r="F59" s="344"/>
      <c r="G59" s="500">
        <v>0</v>
      </c>
    </row>
    <row r="60" spans="1:7" s="285" customFormat="1" ht="12.75">
      <c r="A60" s="278">
        <v>3840</v>
      </c>
      <c r="B60" s="279"/>
      <c r="C60" s="280" t="s">
        <v>287</v>
      </c>
      <c r="D60" s="346"/>
      <c r="E60" s="346"/>
      <c r="F60" s="346"/>
      <c r="G60" s="501">
        <v>0</v>
      </c>
    </row>
    <row r="61" spans="1:7" s="285" customFormat="1" ht="12.75">
      <c r="A61" s="278">
        <v>3841</v>
      </c>
      <c r="B61" s="279"/>
      <c r="C61" s="280" t="s">
        <v>288</v>
      </c>
      <c r="D61" s="346"/>
      <c r="E61" s="346"/>
      <c r="F61" s="346"/>
      <c r="G61" s="501">
        <v>0</v>
      </c>
    </row>
    <row r="62" spans="1:7" s="285" customFormat="1" ht="12.75">
      <c r="A62" s="349">
        <v>386</v>
      </c>
      <c r="B62" s="350"/>
      <c r="C62" s="351" t="s">
        <v>289</v>
      </c>
      <c r="D62" s="346"/>
      <c r="E62" s="346"/>
      <c r="F62" s="346"/>
      <c r="G62" s="501">
        <v>0</v>
      </c>
    </row>
    <row r="63" spans="1:7" s="285" customFormat="1" ht="25.5">
      <c r="A63" s="278">
        <v>387</v>
      </c>
      <c r="B63" s="279"/>
      <c r="C63" s="280" t="s">
        <v>290</v>
      </c>
      <c r="D63" s="346"/>
      <c r="E63" s="346"/>
      <c r="F63" s="346"/>
      <c r="G63" s="501">
        <v>0</v>
      </c>
    </row>
    <row r="64" spans="1:7" s="285" customFormat="1" ht="12.75">
      <c r="A64" s="322">
        <v>389</v>
      </c>
      <c r="B64" s="533"/>
      <c r="C64" s="270" t="s">
        <v>57</v>
      </c>
      <c r="D64" s="271"/>
      <c r="E64" s="271"/>
      <c r="F64" s="271"/>
      <c r="G64" s="401">
        <v>0</v>
      </c>
    </row>
    <row r="65" spans="1:7" s="260" customFormat="1" ht="12.75">
      <c r="A65" s="274" t="s">
        <v>291</v>
      </c>
      <c r="B65" s="262"/>
      <c r="C65" s="263" t="s">
        <v>292</v>
      </c>
      <c r="D65" s="275"/>
      <c r="E65" s="275"/>
      <c r="F65" s="275"/>
      <c r="G65" s="277">
        <v>0</v>
      </c>
    </row>
    <row r="66" spans="1:7" s="355" customFormat="1" ht="25.5">
      <c r="A66" s="492" t="s">
        <v>293</v>
      </c>
      <c r="B66" s="354"/>
      <c r="C66" s="280" t="s">
        <v>294</v>
      </c>
      <c r="D66" s="344"/>
      <c r="E66" s="344"/>
      <c r="F66" s="344"/>
      <c r="G66" s="495">
        <v>0</v>
      </c>
    </row>
    <row r="67" spans="1:7" s="260" customFormat="1" ht="12.75">
      <c r="A67" s="353">
        <v>481</v>
      </c>
      <c r="B67" s="262"/>
      <c r="C67" s="263" t="s">
        <v>295</v>
      </c>
      <c r="D67" s="275"/>
      <c r="E67" s="275"/>
      <c r="F67" s="275"/>
      <c r="G67" s="277">
        <v>0</v>
      </c>
    </row>
    <row r="68" spans="1:7" s="260" customFormat="1" ht="12.75">
      <c r="A68" s="353">
        <v>482</v>
      </c>
      <c r="B68" s="262"/>
      <c r="C68" s="263" t="s">
        <v>296</v>
      </c>
      <c r="D68" s="275"/>
      <c r="E68" s="275"/>
      <c r="F68" s="275"/>
      <c r="G68" s="277">
        <v>0</v>
      </c>
    </row>
    <row r="69" spans="1:7" s="260" customFormat="1" ht="12.75">
      <c r="A69" s="353">
        <v>483</v>
      </c>
      <c r="B69" s="262"/>
      <c r="C69" s="263" t="s">
        <v>297</v>
      </c>
      <c r="D69" s="275"/>
      <c r="E69" s="275"/>
      <c r="F69" s="275"/>
      <c r="G69" s="277">
        <v>0</v>
      </c>
    </row>
    <row r="70" spans="1:7" s="260" customFormat="1" ht="12.75">
      <c r="A70" s="353">
        <v>484</v>
      </c>
      <c r="B70" s="262"/>
      <c r="C70" s="263" t="s">
        <v>298</v>
      </c>
      <c r="D70" s="275"/>
      <c r="E70" s="275"/>
      <c r="F70" s="275"/>
      <c r="G70" s="277">
        <v>0</v>
      </c>
    </row>
    <row r="71" spans="1:7" s="260" customFormat="1" ht="12.75">
      <c r="A71" s="353">
        <v>485</v>
      </c>
      <c r="B71" s="262"/>
      <c r="C71" s="263" t="s">
        <v>299</v>
      </c>
      <c r="D71" s="275"/>
      <c r="E71" s="275"/>
      <c r="F71" s="275"/>
      <c r="G71" s="277">
        <v>0</v>
      </c>
    </row>
    <row r="72" spans="1:7" s="260" customFormat="1" ht="12.75">
      <c r="A72" s="353">
        <v>486</v>
      </c>
      <c r="B72" s="262"/>
      <c r="C72" s="263" t="s">
        <v>300</v>
      </c>
      <c r="D72" s="275"/>
      <c r="E72" s="275"/>
      <c r="F72" s="275"/>
      <c r="G72" s="277">
        <v>0</v>
      </c>
    </row>
    <row r="73" spans="1:7" s="285" customFormat="1" ht="12.75">
      <c r="A73" s="353">
        <v>487</v>
      </c>
      <c r="B73" s="269"/>
      <c r="C73" s="263" t="s">
        <v>301</v>
      </c>
      <c r="D73" s="275"/>
      <c r="E73" s="264"/>
      <c r="F73" s="275"/>
      <c r="G73" s="319">
        <v>0</v>
      </c>
    </row>
    <row r="74" spans="1:7" s="285" customFormat="1" ht="12.75">
      <c r="A74" s="353">
        <v>489</v>
      </c>
      <c r="B74" s="356"/>
      <c r="C74" s="303" t="s">
        <v>74</v>
      </c>
      <c r="D74" s="275"/>
      <c r="E74" s="264"/>
      <c r="F74" s="275"/>
      <c r="G74" s="319">
        <v>0</v>
      </c>
    </row>
    <row r="75" spans="1:7" s="285" customFormat="1" ht="12.75">
      <c r="A75" s="357" t="s">
        <v>302</v>
      </c>
      <c r="B75" s="356"/>
      <c r="C75" s="330" t="s">
        <v>303</v>
      </c>
      <c r="D75" s="275"/>
      <c r="E75" s="275"/>
      <c r="F75" s="275"/>
      <c r="G75" s="277">
        <v>0</v>
      </c>
    </row>
    <row r="76" spans="1:7" ht="12.75">
      <c r="A76" s="309"/>
      <c r="B76" s="309"/>
      <c r="C76" s="310" t="s">
        <v>304</v>
      </c>
      <c r="D76" s="311">
        <f>SUM(D65:D74)-SUM(D57:D64)</f>
        <v>0</v>
      </c>
      <c r="E76" s="311">
        <f>SUM(E65:E74)-SUM(E57:E64)</f>
        <v>0</v>
      </c>
      <c r="F76" s="311">
        <f>SUM(F65:F74)-SUM(F57:F64)</f>
        <v>0</v>
      </c>
      <c r="G76" s="311">
        <f>SUM(G65:G74)-SUM(G57:G64)</f>
        <v>0</v>
      </c>
    </row>
    <row r="77" spans="1:7" ht="12.75">
      <c r="A77" s="358"/>
      <c r="B77" s="358"/>
      <c r="C77" s="310" t="s">
        <v>305</v>
      </c>
      <c r="D77" s="311">
        <f>D56+D76</f>
        <v>0</v>
      </c>
      <c r="E77" s="311">
        <f>E56+E76</f>
        <v>0</v>
      </c>
      <c r="F77" s="311">
        <f>F56+F76</f>
        <v>0</v>
      </c>
      <c r="G77" s="311">
        <f>G56+G76</f>
        <v>-52514</v>
      </c>
    </row>
    <row r="78" spans="1:7" ht="12.75">
      <c r="A78" s="359">
        <v>3</v>
      </c>
      <c r="B78" s="359"/>
      <c r="C78" s="360" t="s">
        <v>306</v>
      </c>
      <c r="D78" s="361">
        <f>D20+D21+SUM(D38:D43)+SUM(D57:D64)</f>
        <v>0</v>
      </c>
      <c r="E78" s="361">
        <f>E20+E21+SUM(E38:E43)+SUM(E57:E64)</f>
        <v>0</v>
      </c>
      <c r="F78" s="361">
        <f>F20+F21+SUM(F38:F43)+SUM(F57:F64)</f>
        <v>0</v>
      </c>
      <c r="G78" s="361">
        <f>G20+G21+SUM(G38:G43)+SUM(G57:G64)</f>
        <v>2437578</v>
      </c>
    </row>
    <row r="79" spans="1:7" ht="12.75">
      <c r="A79" s="359">
        <v>4</v>
      </c>
      <c r="B79" s="359"/>
      <c r="C79" s="360" t="s">
        <v>307</v>
      </c>
      <c r="D79" s="361">
        <f>D35+D36+SUM(D44:D53)+SUM(D65:D74)</f>
        <v>0</v>
      </c>
      <c r="E79" s="361">
        <f>E35+E36+SUM(E44:E53)+SUM(E65:E74)</f>
        <v>0</v>
      </c>
      <c r="F79" s="361">
        <f>F35+F36+SUM(F44:F53)+SUM(F65:F74)</f>
        <v>0</v>
      </c>
      <c r="G79" s="361">
        <f>G35+G36+SUM(G44:G53)+SUM(G65:G74)</f>
        <v>2385064</v>
      </c>
    </row>
    <row r="80" spans="1:7" ht="12.75">
      <c r="A80" s="362"/>
      <c r="B80" s="362"/>
      <c r="C80" s="363"/>
      <c r="D80" s="364"/>
      <c r="E80" s="364"/>
      <c r="F80" s="364"/>
      <c r="G80" s="364"/>
    </row>
    <row r="81" spans="1:7" ht="12.75">
      <c r="A81" s="611" t="s">
        <v>308</v>
      </c>
      <c r="B81" s="612"/>
      <c r="C81" s="612"/>
      <c r="D81" s="366"/>
      <c r="E81" s="365"/>
      <c r="F81" s="366"/>
      <c r="G81" s="365"/>
    </row>
    <row r="82" spans="1:7" s="260" customFormat="1" ht="12.75">
      <c r="A82" s="367">
        <v>50</v>
      </c>
      <c r="B82" s="368"/>
      <c r="C82" s="368" t="s">
        <v>309</v>
      </c>
      <c r="D82" s="275"/>
      <c r="E82" s="275"/>
      <c r="F82" s="275"/>
      <c r="G82" s="276">
        <v>180339</v>
      </c>
    </row>
    <row r="83" spans="1:7" s="260" customFormat="1" ht="12.75">
      <c r="A83" s="367">
        <v>51</v>
      </c>
      <c r="B83" s="368"/>
      <c r="C83" s="368" t="s">
        <v>310</v>
      </c>
      <c r="D83" s="275"/>
      <c r="E83" s="275"/>
      <c r="F83" s="275"/>
      <c r="G83" s="276">
        <v>0</v>
      </c>
    </row>
    <row r="84" spans="1:7" s="260" customFormat="1" ht="12.75">
      <c r="A84" s="367">
        <v>52</v>
      </c>
      <c r="B84" s="368"/>
      <c r="C84" s="368" t="s">
        <v>311</v>
      </c>
      <c r="D84" s="275"/>
      <c r="E84" s="275"/>
      <c r="F84" s="275"/>
      <c r="G84" s="276">
        <v>9366</v>
      </c>
    </row>
    <row r="85" spans="1:7" s="260" customFormat="1" ht="12.75">
      <c r="A85" s="369">
        <v>54</v>
      </c>
      <c r="B85" s="370"/>
      <c r="C85" s="370" t="s">
        <v>312</v>
      </c>
      <c r="D85" s="271"/>
      <c r="E85" s="271"/>
      <c r="F85" s="271"/>
      <c r="G85" s="276">
        <v>17350</v>
      </c>
    </row>
    <row r="86" spans="1:7" s="260" customFormat="1" ht="12.75">
      <c r="A86" s="369">
        <v>55</v>
      </c>
      <c r="B86" s="370"/>
      <c r="C86" s="370" t="s">
        <v>313</v>
      </c>
      <c r="D86" s="271"/>
      <c r="E86" s="271"/>
      <c r="F86" s="271"/>
      <c r="G86" s="276">
        <v>0</v>
      </c>
    </row>
    <row r="87" spans="1:7" s="260" customFormat="1" ht="12.75">
      <c r="A87" s="369">
        <v>56</v>
      </c>
      <c r="B87" s="370"/>
      <c r="C87" s="370" t="s">
        <v>314</v>
      </c>
      <c r="D87" s="271"/>
      <c r="E87" s="271"/>
      <c r="F87" s="271"/>
      <c r="G87" s="276">
        <v>118057</v>
      </c>
    </row>
    <row r="88" spans="1:7" s="260" customFormat="1" ht="12.75">
      <c r="A88" s="367">
        <v>57</v>
      </c>
      <c r="B88" s="368"/>
      <c r="C88" s="368" t="s">
        <v>315</v>
      </c>
      <c r="D88" s="275"/>
      <c r="E88" s="275"/>
      <c r="F88" s="275"/>
      <c r="G88" s="276">
        <v>71486</v>
      </c>
    </row>
    <row r="89" spans="1:7" s="260" customFormat="1" ht="12.75">
      <c r="A89" s="367">
        <v>580</v>
      </c>
      <c r="B89" s="368"/>
      <c r="C89" s="368" t="s">
        <v>316</v>
      </c>
      <c r="D89" s="275"/>
      <c r="E89" s="275"/>
      <c r="F89" s="275"/>
      <c r="G89" s="276">
        <v>0</v>
      </c>
    </row>
    <row r="90" spans="1:7" s="260" customFormat="1" ht="12.75">
      <c r="A90" s="367">
        <v>582</v>
      </c>
      <c r="B90" s="368"/>
      <c r="C90" s="368" t="s">
        <v>317</v>
      </c>
      <c r="D90" s="275"/>
      <c r="E90" s="275"/>
      <c r="F90" s="275"/>
      <c r="G90" s="276">
        <v>0</v>
      </c>
    </row>
    <row r="91" spans="1:7" s="260" customFormat="1" ht="12.75">
      <c r="A91" s="367">
        <v>584</v>
      </c>
      <c r="B91" s="368"/>
      <c r="C91" s="368" t="s">
        <v>318</v>
      </c>
      <c r="D91" s="275"/>
      <c r="E91" s="275"/>
      <c r="F91" s="275"/>
      <c r="G91" s="276">
        <v>0</v>
      </c>
    </row>
    <row r="92" spans="1:7" s="260" customFormat="1" ht="12.75">
      <c r="A92" s="367">
        <v>585</v>
      </c>
      <c r="B92" s="368"/>
      <c r="C92" s="368" t="s">
        <v>319</v>
      </c>
      <c r="D92" s="275"/>
      <c r="E92" s="275"/>
      <c r="F92" s="275"/>
      <c r="G92" s="276">
        <v>0</v>
      </c>
    </row>
    <row r="93" spans="1:7" s="260" customFormat="1" ht="12.75">
      <c r="A93" s="367">
        <v>586</v>
      </c>
      <c r="B93" s="368"/>
      <c r="C93" s="368" t="s">
        <v>320</v>
      </c>
      <c r="D93" s="275"/>
      <c r="E93" s="275"/>
      <c r="F93" s="275"/>
      <c r="G93" s="276">
        <v>0</v>
      </c>
    </row>
    <row r="94" spans="1:7" s="260" customFormat="1" ht="12.75">
      <c r="A94" s="371">
        <v>589</v>
      </c>
      <c r="B94" s="372"/>
      <c r="C94" s="372" t="s">
        <v>321</v>
      </c>
      <c r="D94" s="306"/>
      <c r="E94" s="306"/>
      <c r="F94" s="306"/>
      <c r="G94" s="308">
        <v>0</v>
      </c>
    </row>
    <row r="95" spans="1:7" ht="12.75">
      <c r="A95" s="374">
        <v>5</v>
      </c>
      <c r="B95" s="375"/>
      <c r="C95" s="375" t="s">
        <v>322</v>
      </c>
      <c r="D95" s="376">
        <f>SUM(D82:D94)</f>
        <v>0</v>
      </c>
      <c r="E95" s="376">
        <f>SUM(E82:E94)</f>
        <v>0</v>
      </c>
      <c r="F95" s="376">
        <f>SUM(F82:F94)</f>
        <v>0</v>
      </c>
      <c r="G95" s="376">
        <f>SUM(G82:G94)</f>
        <v>396598</v>
      </c>
    </row>
    <row r="96" spans="1:7" s="260" customFormat="1" ht="12.75">
      <c r="A96" s="367">
        <v>60</v>
      </c>
      <c r="B96" s="368"/>
      <c r="C96" s="368" t="s">
        <v>323</v>
      </c>
      <c r="D96" s="275"/>
      <c r="E96" s="275"/>
      <c r="F96" s="275"/>
      <c r="G96" s="276">
        <v>0</v>
      </c>
    </row>
    <row r="97" spans="1:7" s="260" customFormat="1" ht="12.75">
      <c r="A97" s="367">
        <v>61</v>
      </c>
      <c r="B97" s="368"/>
      <c r="C97" s="368" t="s">
        <v>324</v>
      </c>
      <c r="D97" s="275"/>
      <c r="E97" s="275"/>
      <c r="F97" s="275"/>
      <c r="G97" s="276">
        <v>3815</v>
      </c>
    </row>
    <row r="98" spans="1:7" s="260" customFormat="1" ht="12.75">
      <c r="A98" s="367">
        <v>62</v>
      </c>
      <c r="B98" s="368"/>
      <c r="C98" s="368" t="s">
        <v>325</v>
      </c>
      <c r="D98" s="275"/>
      <c r="E98" s="275"/>
      <c r="F98" s="275"/>
      <c r="G98" s="276">
        <v>0</v>
      </c>
    </row>
    <row r="99" spans="1:7" s="260" customFormat="1" ht="12.75">
      <c r="A99" s="367">
        <v>63</v>
      </c>
      <c r="B99" s="368"/>
      <c r="C99" s="368" t="s">
        <v>326</v>
      </c>
      <c r="D99" s="275"/>
      <c r="E99" s="275"/>
      <c r="F99" s="275"/>
      <c r="G99" s="276">
        <v>107508</v>
      </c>
    </row>
    <row r="100" spans="1:7" s="260" customFormat="1" ht="12.75">
      <c r="A100" s="369">
        <v>64</v>
      </c>
      <c r="B100" s="370"/>
      <c r="C100" s="370" t="s">
        <v>327</v>
      </c>
      <c r="D100" s="271"/>
      <c r="E100" s="271"/>
      <c r="F100" s="271"/>
      <c r="G100" s="276">
        <v>5815</v>
      </c>
    </row>
    <row r="101" spans="1:7" s="260" customFormat="1" ht="12.75">
      <c r="A101" s="369">
        <v>65</v>
      </c>
      <c r="B101" s="370"/>
      <c r="C101" s="370" t="s">
        <v>328</v>
      </c>
      <c r="D101" s="271"/>
      <c r="E101" s="271"/>
      <c r="F101" s="271"/>
      <c r="G101" s="276">
        <v>0</v>
      </c>
    </row>
    <row r="102" spans="1:7" s="260" customFormat="1" ht="12.75">
      <c r="A102" s="369">
        <v>66</v>
      </c>
      <c r="B102" s="370"/>
      <c r="C102" s="370" t="s">
        <v>329</v>
      </c>
      <c r="D102" s="271"/>
      <c r="E102" s="271"/>
      <c r="F102" s="271"/>
      <c r="G102" s="276">
        <v>250</v>
      </c>
    </row>
    <row r="103" spans="1:7" s="260" customFormat="1" ht="12.75">
      <c r="A103" s="367">
        <v>67</v>
      </c>
      <c r="B103" s="368"/>
      <c r="C103" s="368" t="s">
        <v>315</v>
      </c>
      <c r="D103" s="275"/>
      <c r="E103" s="275"/>
      <c r="F103" s="275"/>
      <c r="G103" s="267">
        <v>71486</v>
      </c>
    </row>
    <row r="104" spans="1:7" s="260" customFormat="1" ht="25.5">
      <c r="A104" s="377" t="s">
        <v>330</v>
      </c>
      <c r="B104" s="368"/>
      <c r="C104" s="378" t="s">
        <v>331</v>
      </c>
      <c r="D104" s="264"/>
      <c r="E104" s="264"/>
      <c r="F104" s="264"/>
      <c r="G104" s="267">
        <v>0</v>
      </c>
    </row>
    <row r="105" spans="1:7" s="260" customFormat="1" ht="38.25">
      <c r="A105" s="381" t="s">
        <v>332</v>
      </c>
      <c r="B105" s="372"/>
      <c r="C105" s="382" t="s">
        <v>333</v>
      </c>
      <c r="D105" s="304"/>
      <c r="E105" s="304"/>
      <c r="F105" s="304"/>
      <c r="G105" s="486">
        <v>0</v>
      </c>
    </row>
    <row r="106" spans="1:7" ht="12.75">
      <c r="A106" s="374">
        <v>6</v>
      </c>
      <c r="B106" s="375"/>
      <c r="C106" s="375" t="s">
        <v>334</v>
      </c>
      <c r="D106" s="376">
        <f>SUM(D96:D105)</f>
        <v>0</v>
      </c>
      <c r="E106" s="376">
        <f>SUM(E96:E105)</f>
        <v>0</v>
      </c>
      <c r="F106" s="376">
        <f>SUM(F96:F105)</f>
        <v>0</v>
      </c>
      <c r="G106" s="376">
        <f>SUM(G96:G105)</f>
        <v>188874</v>
      </c>
    </row>
    <row r="107" spans="1:7" ht="12.75">
      <c r="A107" s="386" t="s">
        <v>335</v>
      </c>
      <c r="B107" s="386"/>
      <c r="C107" s="375" t="s">
        <v>3</v>
      </c>
      <c r="D107" s="376">
        <f>(D95-D88)-(D106-D103)</f>
        <v>0</v>
      </c>
      <c r="E107" s="376">
        <f>(E95-E88)-(E106-E103)</f>
        <v>0</v>
      </c>
      <c r="F107" s="376">
        <f>(F95-F88)-(F106-F103)</f>
        <v>0</v>
      </c>
      <c r="G107" s="376">
        <f>(G95-G88)-(G106-G103)</f>
        <v>207724</v>
      </c>
    </row>
    <row r="108" spans="1:7" ht="12.75">
      <c r="A108" s="387" t="s">
        <v>336</v>
      </c>
      <c r="B108" s="387"/>
      <c r="C108" s="388" t="s">
        <v>337</v>
      </c>
      <c r="D108" s="376">
        <f>D107-D85-D86+D100+D101</f>
        <v>0</v>
      </c>
      <c r="E108" s="376">
        <f>E107-E85-E86+E100+E101</f>
        <v>0</v>
      </c>
      <c r="F108" s="376">
        <f>F107-F85-F86+F100+F101</f>
        <v>0</v>
      </c>
      <c r="G108" s="376">
        <f>G107-G85-G86+G100+G101</f>
        <v>196189</v>
      </c>
    </row>
    <row r="109" spans="1:7" ht="12.75">
      <c r="A109" s="362"/>
      <c r="B109" s="362"/>
      <c r="C109" s="363"/>
      <c r="D109" s="364"/>
      <c r="E109" s="364"/>
      <c r="F109" s="364"/>
      <c r="G109" s="364"/>
    </row>
    <row r="110" spans="1:7" s="250" customFormat="1" ht="12.75">
      <c r="A110" s="390" t="s">
        <v>338</v>
      </c>
      <c r="B110" s="391"/>
      <c r="C110" s="390"/>
      <c r="D110" s="364"/>
      <c r="E110" s="364"/>
      <c r="F110" s="364"/>
      <c r="G110" s="364"/>
    </row>
    <row r="111" spans="1:7" s="396" customFormat="1" ht="12.75">
      <c r="A111" s="392">
        <v>10</v>
      </c>
      <c r="B111" s="393"/>
      <c r="C111" s="393" t="s">
        <v>339</v>
      </c>
      <c r="D111" s="394">
        <f>D112+D117</f>
        <v>0</v>
      </c>
      <c r="E111" s="394">
        <f>E112+E117</f>
        <v>0</v>
      </c>
      <c r="F111" s="394">
        <f>F112+F117</f>
        <v>0</v>
      </c>
      <c r="G111" s="395">
        <f>G112+G117</f>
        <v>0</v>
      </c>
    </row>
    <row r="112" spans="1:7" s="396" customFormat="1" ht="12.75">
      <c r="A112" s="397" t="s">
        <v>340</v>
      </c>
      <c r="B112" s="398"/>
      <c r="C112" s="398" t="s">
        <v>341</v>
      </c>
      <c r="D112" s="394">
        <f>D113+D114+D115+D116</f>
        <v>0</v>
      </c>
      <c r="E112" s="394">
        <f>E113+E114+E115+E116</f>
        <v>0</v>
      </c>
      <c r="F112" s="394">
        <f>F113+F114+F115+F116</f>
        <v>0</v>
      </c>
      <c r="G112" s="395">
        <f>G113+G114+G115+G116</f>
        <v>0</v>
      </c>
    </row>
    <row r="113" spans="1:7" s="396" customFormat="1" ht="12.75">
      <c r="A113" s="410" t="s">
        <v>342</v>
      </c>
      <c r="B113" s="411"/>
      <c r="C113" s="411" t="s">
        <v>343</v>
      </c>
      <c r="D113" s="275"/>
      <c r="E113" s="275"/>
      <c r="F113" s="275"/>
      <c r="G113" s="277"/>
    </row>
    <row r="114" spans="1:7" s="406" customFormat="1" ht="15" customHeight="1">
      <c r="A114" s="414">
        <v>102</v>
      </c>
      <c r="B114" s="494"/>
      <c r="C114" s="494" t="s">
        <v>344</v>
      </c>
      <c r="D114" s="344"/>
      <c r="E114" s="344"/>
      <c r="F114" s="344"/>
      <c r="G114" s="495"/>
    </row>
    <row r="115" spans="1:7" s="396" customFormat="1" ht="12.75">
      <c r="A115" s="410">
        <v>104</v>
      </c>
      <c r="B115" s="411"/>
      <c r="C115" s="411" t="s">
        <v>345</v>
      </c>
      <c r="D115" s="275"/>
      <c r="E115" s="275"/>
      <c r="F115" s="275"/>
      <c r="G115" s="277"/>
    </row>
    <row r="116" spans="1:7" s="396" customFormat="1" ht="12.75">
      <c r="A116" s="410">
        <v>106</v>
      </c>
      <c r="B116" s="411"/>
      <c r="C116" s="411" t="s">
        <v>346</v>
      </c>
      <c r="D116" s="275"/>
      <c r="E116" s="275"/>
      <c r="F116" s="275"/>
      <c r="G116" s="277"/>
    </row>
    <row r="117" spans="1:7" s="396" customFormat="1" ht="12.75">
      <c r="A117" s="397" t="s">
        <v>347</v>
      </c>
      <c r="B117" s="398"/>
      <c r="C117" s="398" t="s">
        <v>348</v>
      </c>
      <c r="D117" s="394">
        <f>D118+D119+D120</f>
        <v>0</v>
      </c>
      <c r="E117" s="394">
        <f>E118+E119+E120</f>
        <v>0</v>
      </c>
      <c r="F117" s="394">
        <f>F118+F119+F120</f>
        <v>0</v>
      </c>
      <c r="G117" s="395">
        <f>G118+G119+G120</f>
        <v>0</v>
      </c>
    </row>
    <row r="118" spans="1:7" s="396" customFormat="1" ht="12.75">
      <c r="A118" s="410">
        <v>107</v>
      </c>
      <c r="B118" s="411"/>
      <c r="C118" s="411" t="s">
        <v>349</v>
      </c>
      <c r="D118" s="275"/>
      <c r="E118" s="275"/>
      <c r="F118" s="275"/>
      <c r="G118" s="277"/>
    </row>
    <row r="119" spans="1:7" s="396" customFormat="1" ht="12.75">
      <c r="A119" s="410">
        <v>108</v>
      </c>
      <c r="B119" s="411"/>
      <c r="C119" s="411" t="s">
        <v>350</v>
      </c>
      <c r="D119" s="275"/>
      <c r="E119" s="275"/>
      <c r="F119" s="275"/>
      <c r="G119" s="277"/>
    </row>
    <row r="120" spans="1:7" s="409" customFormat="1" ht="25.5">
      <c r="A120" s="414">
        <v>109</v>
      </c>
      <c r="B120" s="415"/>
      <c r="C120" s="415" t="s">
        <v>351</v>
      </c>
      <c r="D120" s="281"/>
      <c r="E120" s="281"/>
      <c r="F120" s="281"/>
      <c r="G120" s="496"/>
    </row>
    <row r="121" spans="1:7" s="396" customFormat="1" ht="12.75">
      <c r="A121" s="397">
        <v>14</v>
      </c>
      <c r="B121" s="398"/>
      <c r="C121" s="398" t="s">
        <v>352</v>
      </c>
      <c r="D121" s="394">
        <f>SUM(D122:D130)</f>
        <v>0</v>
      </c>
      <c r="E121" s="394">
        <f>SUM(E122:E130)</f>
        <v>0</v>
      </c>
      <c r="F121" s="394">
        <f>SUM(F122:F130)</f>
        <v>0</v>
      </c>
      <c r="G121" s="394">
        <f>SUM(G122:G130)</f>
        <v>0</v>
      </c>
    </row>
    <row r="122" spans="1:7" s="396" customFormat="1" ht="12.75">
      <c r="A122" s="410" t="s">
        <v>353</v>
      </c>
      <c r="B122" s="411"/>
      <c r="C122" s="411" t="s">
        <v>354</v>
      </c>
      <c r="D122" s="275"/>
      <c r="E122" s="275"/>
      <c r="F122" s="275"/>
      <c r="G122" s="277"/>
    </row>
    <row r="123" spans="1:7" s="396" customFormat="1" ht="12.75">
      <c r="A123" s="410">
        <v>144</v>
      </c>
      <c r="B123" s="411"/>
      <c r="C123" s="411" t="s">
        <v>312</v>
      </c>
      <c r="D123" s="275"/>
      <c r="E123" s="275"/>
      <c r="F123" s="275"/>
      <c r="G123" s="277"/>
    </row>
    <row r="124" spans="1:7" s="396" customFormat="1" ht="12.75">
      <c r="A124" s="410">
        <v>145</v>
      </c>
      <c r="B124" s="411"/>
      <c r="C124" s="411" t="s">
        <v>355</v>
      </c>
      <c r="D124" s="275"/>
      <c r="E124" s="412"/>
      <c r="F124" s="275"/>
      <c r="G124" s="413"/>
    </row>
    <row r="125" spans="1:7" s="396" customFormat="1" ht="12.75">
      <c r="A125" s="410">
        <v>146</v>
      </c>
      <c r="B125" s="411"/>
      <c r="C125" s="411" t="s">
        <v>356</v>
      </c>
      <c r="D125" s="275"/>
      <c r="E125" s="412"/>
      <c r="F125" s="275"/>
      <c r="G125" s="413"/>
    </row>
    <row r="126" spans="1:7" s="409" customFormat="1" ht="29.25" customHeight="1">
      <c r="A126" s="414" t="s">
        <v>357</v>
      </c>
      <c r="B126" s="415"/>
      <c r="C126" s="415" t="s">
        <v>358</v>
      </c>
      <c r="D126" s="281"/>
      <c r="E126" s="416"/>
      <c r="F126" s="281"/>
      <c r="G126" s="417"/>
    </row>
    <row r="127" spans="1:7" s="396" customFormat="1" ht="12.75">
      <c r="A127" s="410">
        <v>1484</v>
      </c>
      <c r="B127" s="411"/>
      <c r="C127" s="411" t="s">
        <v>359</v>
      </c>
      <c r="D127" s="275"/>
      <c r="E127" s="412"/>
      <c r="F127" s="275"/>
      <c r="G127" s="413"/>
    </row>
    <row r="128" spans="1:7" s="396" customFormat="1" ht="12.75">
      <c r="A128" s="410">
        <v>1485</v>
      </c>
      <c r="B128" s="411"/>
      <c r="C128" s="411" t="s">
        <v>360</v>
      </c>
      <c r="D128" s="275"/>
      <c r="E128" s="412"/>
      <c r="F128" s="275"/>
      <c r="G128" s="413"/>
    </row>
    <row r="129" spans="1:7" s="396" customFormat="1" ht="12.75">
      <c r="A129" s="410">
        <v>1486</v>
      </c>
      <c r="B129" s="411"/>
      <c r="C129" s="411" t="s">
        <v>361</v>
      </c>
      <c r="D129" s="275"/>
      <c r="E129" s="412"/>
      <c r="F129" s="275"/>
      <c r="G129" s="413"/>
    </row>
    <row r="130" spans="1:7" s="396" customFormat="1" ht="12.75">
      <c r="A130" s="418">
        <v>1489</v>
      </c>
      <c r="B130" s="419"/>
      <c r="C130" s="419" t="s">
        <v>362</v>
      </c>
      <c r="D130" s="306"/>
      <c r="E130" s="420"/>
      <c r="F130" s="306"/>
      <c r="G130" s="421"/>
    </row>
    <row r="131" spans="1:7" s="250" customFormat="1" ht="12.75">
      <c r="A131" s="422">
        <v>1</v>
      </c>
      <c r="B131" s="423"/>
      <c r="C131" s="422" t="s">
        <v>363</v>
      </c>
      <c r="D131" s="424">
        <f>D111+D121</f>
        <v>0</v>
      </c>
      <c r="E131" s="424">
        <f>E111+E121</f>
        <v>0</v>
      </c>
      <c r="F131" s="424">
        <f>F111+F121</f>
        <v>0</v>
      </c>
      <c r="G131" s="424">
        <f>G111+G121</f>
        <v>0</v>
      </c>
    </row>
    <row r="132" spans="1:7" s="250" customFormat="1" ht="12.75">
      <c r="A132" s="362"/>
      <c r="B132" s="362"/>
      <c r="C132" s="363"/>
      <c r="D132" s="364"/>
      <c r="E132" s="364"/>
      <c r="F132" s="364"/>
      <c r="G132" s="364"/>
    </row>
    <row r="133" spans="1:7" s="396" customFormat="1" ht="12.75">
      <c r="A133" s="392">
        <v>20</v>
      </c>
      <c r="B133" s="393"/>
      <c r="C133" s="393" t="s">
        <v>364</v>
      </c>
      <c r="D133" s="425">
        <f>D134+D140</f>
        <v>0</v>
      </c>
      <c r="E133" s="425">
        <f>E134+E140</f>
        <v>0</v>
      </c>
      <c r="F133" s="425">
        <f>F134+F140</f>
        <v>0</v>
      </c>
      <c r="G133" s="426">
        <f>G134+G140</f>
        <v>0</v>
      </c>
    </row>
    <row r="134" spans="1:7" s="396" customFormat="1" ht="12.75">
      <c r="A134" s="427" t="s">
        <v>365</v>
      </c>
      <c r="B134" s="398"/>
      <c r="C134" s="398" t="s">
        <v>366</v>
      </c>
      <c r="D134" s="394">
        <f>D135+D136+D138+D139</f>
        <v>0</v>
      </c>
      <c r="E134" s="394">
        <f>E135+E136+E138+E139</f>
        <v>0</v>
      </c>
      <c r="F134" s="394">
        <f>F135+F136+F138+F139</f>
        <v>0</v>
      </c>
      <c r="G134" s="395">
        <f>G135+G136+G138+G139</f>
        <v>0</v>
      </c>
    </row>
    <row r="135" spans="1:7" s="429" customFormat="1" ht="12.75">
      <c r="A135" s="428">
        <v>200</v>
      </c>
      <c r="B135" s="411"/>
      <c r="C135" s="411" t="s">
        <v>367</v>
      </c>
      <c r="D135" s="275"/>
      <c r="E135" s="275"/>
      <c r="F135" s="275"/>
      <c r="G135" s="277"/>
    </row>
    <row r="136" spans="1:7" s="429" customFormat="1" ht="12.75">
      <c r="A136" s="428">
        <v>201</v>
      </c>
      <c r="B136" s="411"/>
      <c r="C136" s="411" t="s">
        <v>368</v>
      </c>
      <c r="D136" s="275"/>
      <c r="E136" s="275"/>
      <c r="F136" s="275"/>
      <c r="G136" s="277"/>
    </row>
    <row r="137" spans="1:7" s="429" customFormat="1" ht="12.75">
      <c r="A137" s="430" t="s">
        <v>369</v>
      </c>
      <c r="B137" s="400"/>
      <c r="C137" s="400" t="s">
        <v>370</v>
      </c>
      <c r="D137" s="271"/>
      <c r="E137" s="431"/>
      <c r="F137" s="271"/>
      <c r="G137" s="432"/>
    </row>
    <row r="138" spans="1:7" s="429" customFormat="1" ht="12.75">
      <c r="A138" s="428">
        <v>204</v>
      </c>
      <c r="B138" s="411"/>
      <c r="C138" s="411" t="s">
        <v>371</v>
      </c>
      <c r="D138" s="275"/>
      <c r="E138" s="412"/>
      <c r="F138" s="275"/>
      <c r="G138" s="413"/>
    </row>
    <row r="139" spans="1:7" s="429" customFormat="1" ht="12.75">
      <c r="A139" s="428">
        <v>205</v>
      </c>
      <c r="B139" s="411"/>
      <c r="C139" s="411" t="s">
        <v>372</v>
      </c>
      <c r="D139" s="275"/>
      <c r="E139" s="412"/>
      <c r="F139" s="275"/>
      <c r="G139" s="413"/>
    </row>
    <row r="140" spans="1:7" s="429" customFormat="1" ht="12.75">
      <c r="A140" s="427" t="s">
        <v>373</v>
      </c>
      <c r="B140" s="398"/>
      <c r="C140" s="398" t="s">
        <v>374</v>
      </c>
      <c r="D140" s="394">
        <f>D141+D143+D144</f>
        <v>0</v>
      </c>
      <c r="E140" s="394">
        <f>E141+E143+E144</f>
        <v>0</v>
      </c>
      <c r="F140" s="394">
        <f>F141+F143+F144</f>
        <v>0</v>
      </c>
      <c r="G140" s="395">
        <f>G141+G143+G144</f>
        <v>0</v>
      </c>
    </row>
    <row r="141" spans="1:7" s="429" customFormat="1" ht="12.75">
      <c r="A141" s="428">
        <v>206</v>
      </c>
      <c r="B141" s="411"/>
      <c r="C141" s="411" t="s">
        <v>375</v>
      </c>
      <c r="D141" s="275"/>
      <c r="E141" s="412"/>
      <c r="F141" s="275"/>
      <c r="G141" s="413"/>
    </row>
    <row r="142" spans="1:7" s="429" customFormat="1" ht="12.75">
      <c r="A142" s="430" t="s">
        <v>376</v>
      </c>
      <c r="B142" s="400"/>
      <c r="C142" s="400" t="s">
        <v>377</v>
      </c>
      <c r="D142" s="271"/>
      <c r="E142" s="431"/>
      <c r="F142" s="271"/>
      <c r="G142" s="432"/>
    </row>
    <row r="143" spans="1:7" s="429" customFormat="1" ht="12.75">
      <c r="A143" s="428">
        <v>208</v>
      </c>
      <c r="B143" s="411"/>
      <c r="C143" s="411" t="s">
        <v>378</v>
      </c>
      <c r="D143" s="275"/>
      <c r="E143" s="412"/>
      <c r="F143" s="275"/>
      <c r="G143" s="413"/>
    </row>
    <row r="144" spans="1:7" s="433" customFormat="1" ht="25.5">
      <c r="A144" s="414">
        <v>209</v>
      </c>
      <c r="B144" s="415"/>
      <c r="C144" s="415" t="s">
        <v>379</v>
      </c>
      <c r="D144" s="281"/>
      <c r="E144" s="416"/>
      <c r="F144" s="281"/>
      <c r="G144" s="417"/>
    </row>
    <row r="145" spans="1:7" s="396" customFormat="1" ht="12.75">
      <c r="A145" s="427">
        <v>29</v>
      </c>
      <c r="B145" s="398"/>
      <c r="C145" s="398" t="s">
        <v>380</v>
      </c>
      <c r="D145" s="412"/>
      <c r="E145" s="412"/>
      <c r="F145" s="412"/>
      <c r="G145" s="413"/>
    </row>
    <row r="146" spans="1:7" s="396" customFormat="1" ht="12.75">
      <c r="A146" s="434" t="s">
        <v>381</v>
      </c>
      <c r="B146" s="435"/>
      <c r="C146" s="435" t="s">
        <v>382</v>
      </c>
      <c r="D146" s="332"/>
      <c r="E146" s="332"/>
      <c r="F146" s="332"/>
      <c r="G146" s="436"/>
    </row>
    <row r="147" spans="1:7" s="250" customFormat="1" ht="12.75">
      <c r="A147" s="422">
        <v>2</v>
      </c>
      <c r="B147" s="423"/>
      <c r="C147" s="422" t="s">
        <v>383</v>
      </c>
      <c r="D147" s="424">
        <f>D133+D145</f>
        <v>0</v>
      </c>
      <c r="E147" s="424">
        <f>E133+E145</f>
        <v>0</v>
      </c>
      <c r="F147" s="424">
        <f>F133+F145</f>
        <v>0</v>
      </c>
      <c r="G147" s="424">
        <f>G133+G145</f>
        <v>0</v>
      </c>
    </row>
    <row r="148" spans="4:6" ht="7.5" customHeight="1">
      <c r="D148" s="250"/>
      <c r="F148" s="250"/>
    </row>
    <row r="149" spans="1:7" ht="13.5" customHeight="1">
      <c r="A149" s="437" t="s">
        <v>384</v>
      </c>
      <c r="B149" s="438"/>
      <c r="C149" s="439" t="s">
        <v>385</v>
      </c>
      <c r="D149" s="438"/>
      <c r="E149" s="438"/>
      <c r="F149" s="438"/>
      <c r="G149" s="438"/>
    </row>
    <row r="150" spans="1:7" ht="12.75">
      <c r="A150" s="509" t="s">
        <v>386</v>
      </c>
      <c r="B150" s="509"/>
      <c r="C150" s="509" t="s">
        <v>97</v>
      </c>
      <c r="D150" s="442">
        <f>D77+SUM(D8:D12)-D30-D31+D16-D33+D59+D63-D73+D64-D74-D54+D20-D35</f>
        <v>0</v>
      </c>
      <c r="E150" s="442">
        <f>E77+SUM(E8:E12)-E30-E31+E16-E33+E59+E63-E73+E64-E74-E54+E20-E35</f>
        <v>0</v>
      </c>
      <c r="F150" s="442">
        <f>F77+SUM(F8:F12)-F30-F31+F16-F33+F59+F63-F73+F64-F74-F54+F20-F35</f>
        <v>0</v>
      </c>
      <c r="G150" s="442">
        <f>G77+SUM(G8:G12)-G30-G31+G16-G33+G59+G63-G73+G64-G74-G54+G20-G35</f>
        <v>57907</v>
      </c>
    </row>
    <row r="151" spans="1:7" ht="12.75">
      <c r="A151" s="510" t="s">
        <v>387</v>
      </c>
      <c r="B151" s="510"/>
      <c r="C151" s="510" t="s">
        <v>388</v>
      </c>
      <c r="D151" s="445">
        <f>IF(D177=0,0,D150/D177)</f>
        <v>0</v>
      </c>
      <c r="E151" s="445">
        <f>IF(E177=0,0,E150/E177)</f>
        <v>0</v>
      </c>
      <c r="F151" s="445">
        <f>IF(F177=0,0,F150/F177)</f>
        <v>0</v>
      </c>
      <c r="G151" s="445">
        <f>IF(G177=0,0,G150/G177)</f>
        <v>0.03142673706707305</v>
      </c>
    </row>
    <row r="152" spans="1:7" s="328" customFormat="1" ht="25.5">
      <c r="A152" s="511" t="s">
        <v>389</v>
      </c>
      <c r="B152" s="511"/>
      <c r="C152" s="511" t="s">
        <v>390</v>
      </c>
      <c r="D152" s="504">
        <f>IF(IF(D107=0,0,D$150/D107)&lt;0,"negativ",(IF(D107=0,0,D$150/D107)))</f>
        <v>0</v>
      </c>
      <c r="E152" s="504">
        <f>IF(IF(E107=0,0,E$150/E107)&lt;0,"negativ",(IF(E107=0,0,E$150/E107)))</f>
        <v>0</v>
      </c>
      <c r="F152" s="504">
        <f>IF(IF(F107=0,0,F$150/F107)&lt;0,"negativ",(IF(F107=0,0,F$150/F107)))</f>
        <v>0</v>
      </c>
      <c r="G152" s="504">
        <f>IF(IF(G107=0,0,G$150/G107)&lt;0,"negativ",(IF(G107=0,0,G$150/G107)))</f>
        <v>0.27876894340567293</v>
      </c>
    </row>
    <row r="153" spans="1:7" s="449" customFormat="1" ht="25.5">
      <c r="A153" s="512" t="s">
        <v>389</v>
      </c>
      <c r="B153" s="512"/>
      <c r="C153" s="512" t="s">
        <v>391</v>
      </c>
      <c r="D153" s="452">
        <f>IF(IF(D108=0,0,D$150/D108)&lt;0,"negativ",(IF(D108=0,0,D$150/D108)))</f>
        <v>0</v>
      </c>
      <c r="E153" s="452">
        <f>IF(IF(E108=0,0,E$150/E108)&lt;0,"negativ",(IF(E108=0,0,E$150/E108)))</f>
        <v>0</v>
      </c>
      <c r="F153" s="452">
        <f>IF(IF(F108=0,0,F$150/F108)&lt;0,"negativ",(IF(F108=0,0,F$150/F108)))</f>
        <v>0</v>
      </c>
      <c r="G153" s="452">
        <f>IF(IF(G108=0,0,G$150/G108)&lt;0,"negativ",(IF(G108=0,0,G$150/G108)))</f>
        <v>0.29515925969345885</v>
      </c>
    </row>
    <row r="154" spans="1:7" s="449" customFormat="1" ht="25.5">
      <c r="A154" s="513" t="s">
        <v>392</v>
      </c>
      <c r="B154" s="513"/>
      <c r="C154" s="513" t="s">
        <v>393</v>
      </c>
      <c r="D154" s="455">
        <f>D150-D107</f>
        <v>0</v>
      </c>
      <c r="E154" s="455">
        <f>E150-E107</f>
        <v>0</v>
      </c>
      <c r="F154" s="455">
        <f>F150-F107</f>
        <v>0</v>
      </c>
      <c r="G154" s="455">
        <f>G150-G107</f>
        <v>-149817</v>
      </c>
    </row>
    <row r="155" spans="1:7" ht="25.5">
      <c r="A155" s="512" t="s">
        <v>394</v>
      </c>
      <c r="B155" s="512"/>
      <c r="C155" s="512" t="s">
        <v>395</v>
      </c>
      <c r="D155" s="456">
        <f>D150-D108</f>
        <v>0</v>
      </c>
      <c r="E155" s="456">
        <f>E150-E108</f>
        <v>0</v>
      </c>
      <c r="F155" s="456">
        <f>F150-F108</f>
        <v>0</v>
      </c>
      <c r="G155" s="456">
        <f>G150-G108</f>
        <v>-138282</v>
      </c>
    </row>
    <row r="156" spans="1:7" ht="12.75">
      <c r="A156" s="509" t="s">
        <v>396</v>
      </c>
      <c r="B156" s="509"/>
      <c r="C156" s="509" t="s">
        <v>397</v>
      </c>
      <c r="D156" s="457">
        <f>D135+D136-D137+D141-D142</f>
        <v>0</v>
      </c>
      <c r="E156" s="457">
        <f>E135+E136-E137+E141-E142</f>
        <v>0</v>
      </c>
      <c r="F156" s="457">
        <f>F135+F136-F137+F141-F142</f>
        <v>0</v>
      </c>
      <c r="G156" s="457">
        <f>G135+G136-G137+G141-G142</f>
        <v>0</v>
      </c>
    </row>
    <row r="157" spans="1:7" ht="12.75">
      <c r="A157" s="514" t="s">
        <v>398</v>
      </c>
      <c r="B157" s="514"/>
      <c r="C157" s="514" t="s">
        <v>399</v>
      </c>
      <c r="D157" s="460">
        <f>IF(D177=0,0,D156/D177)</f>
        <v>0</v>
      </c>
      <c r="E157" s="460">
        <f>IF(E177=0,0,E156/E177)</f>
        <v>0</v>
      </c>
      <c r="F157" s="460">
        <f>IF(F177=0,0,F156/F177)</f>
        <v>0</v>
      </c>
      <c r="G157" s="460">
        <f>IF(G177=0,0,G156/G177)</f>
        <v>0</v>
      </c>
    </row>
    <row r="158" spans="1:7" ht="12.75">
      <c r="A158" s="509" t="s">
        <v>400</v>
      </c>
      <c r="B158" s="509"/>
      <c r="C158" s="509" t="s">
        <v>401</v>
      </c>
      <c r="D158" s="457">
        <f>D133-D142-D111</f>
        <v>0</v>
      </c>
      <c r="E158" s="457">
        <f>E133-E142-E111</f>
        <v>0</v>
      </c>
      <c r="F158" s="457">
        <f>F133-F142-F111</f>
        <v>0</v>
      </c>
      <c r="G158" s="457">
        <f>G133-G142-G111</f>
        <v>0</v>
      </c>
    </row>
    <row r="159" spans="1:7" ht="12.75">
      <c r="A159" s="510" t="s">
        <v>402</v>
      </c>
      <c r="B159" s="510"/>
      <c r="C159" s="510" t="s">
        <v>403</v>
      </c>
      <c r="D159" s="461">
        <f>D121-D123-D124-D142-D145</f>
        <v>0</v>
      </c>
      <c r="E159" s="461">
        <f>E121-E123-E124-E142-E145</f>
        <v>0</v>
      </c>
      <c r="F159" s="461">
        <f>F121-F123-F124-F142-F145</f>
        <v>0</v>
      </c>
      <c r="G159" s="461">
        <f>G121-G123-G124-G142-G145</f>
        <v>0</v>
      </c>
    </row>
    <row r="160" spans="1:7" ht="12.75">
      <c r="A160" s="510" t="s">
        <v>404</v>
      </c>
      <c r="B160" s="510"/>
      <c r="C160" s="510" t="s">
        <v>405</v>
      </c>
      <c r="D160" s="462" t="str">
        <f>IF(D175=0,"-",1000*D158/D175)</f>
        <v>-</v>
      </c>
      <c r="E160" s="462" t="str">
        <f>IF(E175=0,"-",1000*E158/E175)</f>
        <v>-</v>
      </c>
      <c r="F160" s="462" t="str">
        <f>IF(F175=0,"-",1000*F158/F175)</f>
        <v>-</v>
      </c>
      <c r="G160" s="462">
        <f>IF(G175=0,"-",1000*G158/G175)</f>
        <v>0</v>
      </c>
    </row>
    <row r="161" spans="1:7" ht="12.75">
      <c r="A161" s="510" t="s">
        <v>404</v>
      </c>
      <c r="B161" s="510"/>
      <c r="C161" s="510" t="s">
        <v>406</v>
      </c>
      <c r="D161" s="461">
        <f>IF(D175=0,0,1000*(D159/D175))</f>
        <v>0</v>
      </c>
      <c r="E161" s="461">
        <f>IF(E175=0,0,1000*(E159/E175))</f>
        <v>0</v>
      </c>
      <c r="F161" s="461">
        <f>IF(F175=0,0,1000*(F159/F175))</f>
        <v>0</v>
      </c>
      <c r="G161" s="461">
        <f>IF(G175=0,0,1000*(G159/G175))</f>
        <v>0</v>
      </c>
    </row>
    <row r="162" spans="1:7" ht="12.75">
      <c r="A162" s="514" t="s">
        <v>407</v>
      </c>
      <c r="B162" s="514"/>
      <c r="C162" s="514" t="s">
        <v>408</v>
      </c>
      <c r="D162" s="460">
        <f>IF((D22+D23+D65+D66)=0,0,D158/(D22+D23+D65+D66))</f>
        <v>0</v>
      </c>
      <c r="E162" s="460">
        <f>IF((E22+E23+E65+E66)=0,0,E158/(E22+E23+E65+E66))</f>
        <v>0</v>
      </c>
      <c r="F162" s="460">
        <f>IF((F22+F23+F65+F66)=0,0,F158/(F22+F23+F65+F66))</f>
        <v>0</v>
      </c>
      <c r="G162" s="460">
        <f>IF((G22+G23+G65+G66)=0,0,G158/(G22+G23+G65+G66))</f>
        <v>0</v>
      </c>
    </row>
    <row r="163" spans="1:7" ht="12.75">
      <c r="A163" s="510" t="s">
        <v>409</v>
      </c>
      <c r="B163" s="510"/>
      <c r="C163" s="510" t="s">
        <v>380</v>
      </c>
      <c r="D163" s="442">
        <f>D145</f>
        <v>0</v>
      </c>
      <c r="E163" s="442">
        <f>E145</f>
        <v>0</v>
      </c>
      <c r="F163" s="442">
        <f>F145</f>
        <v>0</v>
      </c>
      <c r="G163" s="442">
        <f>G145</f>
        <v>0</v>
      </c>
    </row>
    <row r="164" spans="1:7" ht="25.5">
      <c r="A164" s="512" t="s">
        <v>411</v>
      </c>
      <c r="B164" s="514"/>
      <c r="C164" s="514" t="s">
        <v>412</v>
      </c>
      <c r="D164" s="452">
        <f>IF(D178=0,0,D146/D178)</f>
        <v>0</v>
      </c>
      <c r="E164" s="452">
        <f>IF(E178=0,0,E146/E178)</f>
        <v>0</v>
      </c>
      <c r="F164" s="452">
        <f>IF(F178=0,0,F146/F178)</f>
        <v>0</v>
      </c>
      <c r="G164" s="452">
        <f>IF(G178=0,0,G146/G178)</f>
        <v>0</v>
      </c>
    </row>
    <row r="165" spans="1:7" ht="12.75">
      <c r="A165" s="515" t="s">
        <v>681</v>
      </c>
      <c r="B165" s="515"/>
      <c r="C165" s="515" t="s">
        <v>414</v>
      </c>
      <c r="D165" s="465">
        <f>IF(D177=0,0,D180/D177)</f>
        <v>0</v>
      </c>
      <c r="E165" s="465">
        <f>IF(E177=0,0,E180/E177)</f>
        <v>0</v>
      </c>
      <c r="F165" s="465">
        <f>IF(F177=0,0,F180/F177)</f>
        <v>0</v>
      </c>
      <c r="G165" s="465">
        <f>IF(G177=0,0,G180/G177)</f>
        <v>0.08651945101576411</v>
      </c>
    </row>
    <row r="166" spans="1:7" ht="12.75">
      <c r="A166" s="510" t="s">
        <v>415</v>
      </c>
      <c r="B166" s="510"/>
      <c r="C166" s="510" t="s">
        <v>282</v>
      </c>
      <c r="D166" s="442">
        <f>D55</f>
        <v>0</v>
      </c>
      <c r="E166" s="442">
        <f>E55</f>
        <v>0</v>
      </c>
      <c r="F166" s="442">
        <f>F55</f>
        <v>0</v>
      </c>
      <c r="G166" s="442">
        <f>G55</f>
        <v>96611</v>
      </c>
    </row>
    <row r="167" spans="1:7" ht="12.75">
      <c r="A167" s="514" t="s">
        <v>416</v>
      </c>
      <c r="B167" s="514"/>
      <c r="C167" s="514" t="s">
        <v>417</v>
      </c>
      <c r="D167" s="460">
        <f>IF(0=D111,0,(D44+D45+D46+D47+D48)/D111)</f>
        <v>0</v>
      </c>
      <c r="E167" s="460">
        <f>IF(0=E111,0,(E44+E45+E46+E47+E48)/E111)</f>
        <v>0</v>
      </c>
      <c r="F167" s="460">
        <f>IF(0=F111,0,(F44+F45+F46+F47+F48)/F111)</f>
        <v>0</v>
      </c>
      <c r="G167" s="460">
        <f>IF(0=G111,0,(G44+G45+G46+G47+G48)/G111)</f>
        <v>0</v>
      </c>
    </row>
    <row r="168" spans="1:7" ht="12.75">
      <c r="A168" s="510" t="s">
        <v>418</v>
      </c>
      <c r="B168" s="509"/>
      <c r="C168" s="509" t="s">
        <v>419</v>
      </c>
      <c r="D168" s="442">
        <f>D38-D44</f>
        <v>0</v>
      </c>
      <c r="E168" s="442">
        <f>E38-E44</f>
        <v>0</v>
      </c>
      <c r="F168" s="442">
        <f>F38-F44</f>
        <v>0</v>
      </c>
      <c r="G168" s="442">
        <f>G38-G44</f>
        <v>-6092</v>
      </c>
    </row>
    <row r="169" spans="1:7" ht="12.75">
      <c r="A169" s="514" t="s">
        <v>420</v>
      </c>
      <c r="B169" s="514"/>
      <c r="C169" s="514" t="s">
        <v>421</v>
      </c>
      <c r="D169" s="445">
        <f>IF(D177=0,0,D168/D177)</f>
        <v>0</v>
      </c>
      <c r="E169" s="445">
        <f>IF(E177=0,0,E168/E177)</f>
        <v>0</v>
      </c>
      <c r="F169" s="445">
        <f>IF(F177=0,0,F168/F177)</f>
        <v>0</v>
      </c>
      <c r="G169" s="445">
        <f>IF(G177=0,0,G168/G177)</f>
        <v>-0.00330619238110434</v>
      </c>
    </row>
    <row r="170" spans="1:7" ht="12.75">
      <c r="A170" s="510" t="s">
        <v>422</v>
      </c>
      <c r="B170" s="510"/>
      <c r="C170" s="510" t="s">
        <v>423</v>
      </c>
      <c r="D170" s="442">
        <f>SUM(D82:D87)+SUM(D89:D94)</f>
        <v>0</v>
      </c>
      <c r="E170" s="442">
        <f>SUM(E82:E87)+SUM(E89:E94)</f>
        <v>0</v>
      </c>
      <c r="F170" s="442">
        <f>SUM(F82:F87)+SUM(F89:F94)</f>
        <v>0</v>
      </c>
      <c r="G170" s="442">
        <f>SUM(G82:G87)+SUM(G89:G94)</f>
        <v>325112</v>
      </c>
    </row>
    <row r="171" spans="1:7" ht="12.75">
      <c r="A171" s="510" t="s">
        <v>424</v>
      </c>
      <c r="B171" s="510"/>
      <c r="C171" s="510" t="s">
        <v>425</v>
      </c>
      <c r="D171" s="461">
        <f>SUM(D96:D102)+SUM(D104:D105)</f>
        <v>0</v>
      </c>
      <c r="E171" s="461">
        <f>SUM(E96:E102)+SUM(E104:E105)</f>
        <v>0</v>
      </c>
      <c r="F171" s="461">
        <f>SUM(F96:F102)+SUM(F104:F105)</f>
        <v>0</v>
      </c>
      <c r="G171" s="461">
        <f>SUM(G96:G102)+SUM(G104:G105)</f>
        <v>117388</v>
      </c>
    </row>
    <row r="172" spans="1:7" ht="12.75">
      <c r="A172" s="515" t="s">
        <v>413</v>
      </c>
      <c r="B172" s="515"/>
      <c r="C172" s="515" t="s">
        <v>426</v>
      </c>
      <c r="D172" s="465">
        <f>IF(D184=0,0,D170/D184)</f>
        <v>0</v>
      </c>
      <c r="E172" s="465">
        <f>IF(E184=0,0,E170/E184)</f>
        <v>0</v>
      </c>
      <c r="F172" s="465">
        <f>IF(F184=0,0,F170/F184)</f>
        <v>0</v>
      </c>
      <c r="G172" s="465">
        <f>IF(G184=0,0,G170/G184)</f>
        <v>0.1589469505410157</v>
      </c>
    </row>
    <row r="174" spans="1:7" ht="12.75">
      <c r="A174" s="467" t="s">
        <v>427</v>
      </c>
      <c r="B174" s="468"/>
      <c r="C174" s="467"/>
      <c r="D174" s="364"/>
      <c r="E174" s="364"/>
      <c r="F174" s="364"/>
      <c r="G174" s="364"/>
    </row>
    <row r="175" spans="1:7" s="260" customFormat="1" ht="12.75">
      <c r="A175" s="468" t="s">
        <v>428</v>
      </c>
      <c r="B175" s="468"/>
      <c r="C175" s="468" t="s">
        <v>455</v>
      </c>
      <c r="D175" s="470"/>
      <c r="E175" s="470"/>
      <c r="F175" s="470"/>
      <c r="G175" s="472">
        <v>193389</v>
      </c>
    </row>
    <row r="176" spans="1:7" ht="12.75">
      <c r="A176" s="467" t="s">
        <v>430</v>
      </c>
      <c r="B176" s="468"/>
      <c r="C176" s="468"/>
      <c r="D176" s="468"/>
      <c r="E176" s="468"/>
      <c r="F176" s="468"/>
      <c r="G176" s="468"/>
    </row>
    <row r="177" spans="1:7" ht="12.75">
      <c r="A177" s="468" t="s">
        <v>431</v>
      </c>
      <c r="B177" s="468"/>
      <c r="C177" s="468" t="s">
        <v>432</v>
      </c>
      <c r="D177" s="472">
        <f>SUM(D22:D32)+SUM(D44:D53)+SUM(D65:D72)+D75</f>
        <v>0</v>
      </c>
      <c r="E177" s="472">
        <f>SUM(E22:E32)+SUM(E44:E53)+SUM(E65:E72)+E75</f>
        <v>0</v>
      </c>
      <c r="F177" s="472">
        <f>SUM(F22:F32)+SUM(F44:F53)+SUM(F65:F72)+F75</f>
        <v>0</v>
      </c>
      <c r="G177" s="472">
        <f>SUM(G22:G32)+SUM(G44:G53)+SUM(G65:G72)+G75</f>
        <v>1842603</v>
      </c>
    </row>
    <row r="178" spans="1:7" ht="12.75">
      <c r="A178" s="468" t="s">
        <v>433</v>
      </c>
      <c r="B178" s="468"/>
      <c r="C178" s="468" t="s">
        <v>434</v>
      </c>
      <c r="D178" s="472">
        <f>D78-D17-D20-D59-D63-D64</f>
        <v>0</v>
      </c>
      <c r="E178" s="472">
        <f>E78-E17-E20-E59-E63-E64</f>
        <v>0</v>
      </c>
      <c r="F178" s="472">
        <f>F78-F17-F20-F59-F63-F64</f>
        <v>0</v>
      </c>
      <c r="G178" s="472">
        <f>G78-G17-G20-G59-G63-G64</f>
        <v>1895117</v>
      </c>
    </row>
    <row r="179" spans="1:7" ht="12.75">
      <c r="A179" s="468"/>
      <c r="B179" s="468"/>
      <c r="C179" s="468" t="s">
        <v>435</v>
      </c>
      <c r="D179" s="472">
        <f>D178+D170</f>
        <v>0</v>
      </c>
      <c r="E179" s="472">
        <f>E178+E170</f>
        <v>0</v>
      </c>
      <c r="F179" s="472">
        <f>F178+F170</f>
        <v>0</v>
      </c>
      <c r="G179" s="472">
        <f>G178+G170</f>
        <v>2220229</v>
      </c>
    </row>
    <row r="180" spans="1:7" ht="12.75">
      <c r="A180" s="468" t="s">
        <v>436</v>
      </c>
      <c r="B180" s="468"/>
      <c r="C180" s="468" t="s">
        <v>437</v>
      </c>
      <c r="D180" s="472">
        <f>D38-D44+D8+D9+D10+D16-D33</f>
        <v>0</v>
      </c>
      <c r="E180" s="472">
        <f>E38-E44+E8+E9+E10+E16-E33</f>
        <v>0</v>
      </c>
      <c r="F180" s="472">
        <f>F38-F44+F8+F9+F10+F16-F33</f>
        <v>0</v>
      </c>
      <c r="G180" s="472">
        <f>G38-G44+G8+G9+G10+G16-G33</f>
        <v>159421</v>
      </c>
    </row>
    <row r="181" spans="1:7" ht="27" customHeight="1">
      <c r="A181" s="473" t="s">
        <v>438</v>
      </c>
      <c r="B181" s="474"/>
      <c r="C181" s="474" t="s">
        <v>439</v>
      </c>
      <c r="D181" s="475">
        <f>D22+D23+D24+D25+D26+D29+SUM(D44:D47)+SUM(D49:D53)-D54+D32-D33+SUM(D65:D70)+D72</f>
        <v>0</v>
      </c>
      <c r="E181" s="475">
        <f>E22+E23+E24+E25+E26+E29+SUM(E44:E47)+SUM(E49:E53)-E54+E32-E33+SUM(E65:E70)+E72</f>
        <v>0</v>
      </c>
      <c r="F181" s="475">
        <f>F22+F23+F24+F25+F26+F29+SUM(F44:F47)+SUM(F49:F53)-F54+F32-F33+SUM(F65:F70)+F72</f>
        <v>0</v>
      </c>
      <c r="G181" s="475">
        <f>G22+G23+G24+G25+G26+G29+SUM(G44:G47)+SUM(G49:G53)-G54+G32-G33+SUM(G65:G70)+G72</f>
        <v>1784740</v>
      </c>
    </row>
    <row r="182" spans="1:7" ht="12.75">
      <c r="A182" s="474" t="s">
        <v>440</v>
      </c>
      <c r="B182" s="474"/>
      <c r="C182" s="474" t="s">
        <v>441</v>
      </c>
      <c r="D182" s="475">
        <f>D181+D171</f>
        <v>0</v>
      </c>
      <c r="E182" s="475">
        <f>E181+E171</f>
        <v>0</v>
      </c>
      <c r="F182" s="475">
        <f>F181+F171</f>
        <v>0</v>
      </c>
      <c r="G182" s="475">
        <f>G181+G171</f>
        <v>1902128</v>
      </c>
    </row>
    <row r="183" spans="1:7" ht="12.75">
      <c r="A183" s="474" t="s">
        <v>442</v>
      </c>
      <c r="B183" s="474"/>
      <c r="C183" s="474" t="s">
        <v>443</v>
      </c>
      <c r="D183" s="475">
        <f>D4+D5-D7+D38+D39+D40+D41+D43+D13-D16+D57+D58+D60+D61+D62</f>
        <v>0</v>
      </c>
      <c r="E183" s="475">
        <f>E4+E5-E7+E38+E39+E40+E41+E43+E13-E16+E57+E58+E60+E61+E62</f>
        <v>0</v>
      </c>
      <c r="F183" s="475">
        <f>F4+F5-F7+F38+F39+F40+F41+F43+F13-F16+F57+F58+F60+F61+F62</f>
        <v>0</v>
      </c>
      <c r="G183" s="475">
        <f>G4+G5-G7+G38+G39+G40+G41+G43+G13-G16+G57+G58+G60+G61+G62</f>
        <v>1720300</v>
      </c>
    </row>
    <row r="184" spans="1:7" ht="12.75">
      <c r="A184" s="474" t="s">
        <v>444</v>
      </c>
      <c r="B184" s="474"/>
      <c r="C184" s="474" t="s">
        <v>445</v>
      </c>
      <c r="D184" s="475">
        <f>D183+D170</f>
        <v>0</v>
      </c>
      <c r="E184" s="475">
        <f>E183+E170</f>
        <v>0</v>
      </c>
      <c r="F184" s="475">
        <f>F183+F170</f>
        <v>0</v>
      </c>
      <c r="G184" s="475">
        <f>G183+G170</f>
        <v>2045412</v>
      </c>
    </row>
    <row r="185" spans="1:7" ht="12.75">
      <c r="A185" s="474"/>
      <c r="B185" s="474"/>
      <c r="C185" s="474" t="s">
        <v>446</v>
      </c>
      <c r="D185" s="475">
        <f aca="true" t="shared" si="0" ref="D185:G186">D181-D183</f>
        <v>0</v>
      </c>
      <c r="E185" s="475">
        <f t="shared" si="0"/>
        <v>0</v>
      </c>
      <c r="F185" s="475">
        <f t="shared" si="0"/>
        <v>0</v>
      </c>
      <c r="G185" s="475">
        <f t="shared" si="0"/>
        <v>64440</v>
      </c>
    </row>
    <row r="186" spans="1:7" ht="12.75">
      <c r="A186" s="474"/>
      <c r="B186" s="474"/>
      <c r="C186" s="474" t="s">
        <v>447</v>
      </c>
      <c r="D186" s="475">
        <f t="shared" si="0"/>
        <v>0</v>
      </c>
      <c r="E186" s="475">
        <f t="shared" si="0"/>
        <v>0</v>
      </c>
      <c r="F186" s="475">
        <f t="shared" si="0"/>
        <v>0</v>
      </c>
      <c r="G186" s="475">
        <f t="shared" si="0"/>
        <v>-143284</v>
      </c>
    </row>
  </sheetData>
  <sheetProtection/>
  <mergeCells count="2">
    <mergeCell ref="A3:C3"/>
    <mergeCell ref="A81:C8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&amp;LFachgruppe für kantonale Finanzfragen (FkF)
Groupe d'études pour les finances cantonales
&amp;CRechnung 2011 - Budget 2013
Compte 2011 - Budget 2013&amp;RZürich, 12.9.2013</oddHeader>
    <oddFooter>&amp;LQuelle/Source: FkF Sept. 2013</oddFooter>
  </headerFooter>
  <rowBreaks count="2" manualBreakCount="2">
    <brk id="79" max="6" man="1"/>
    <brk id="148" max="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2.8515625" style="0" customWidth="1"/>
    <col min="3" max="3" width="12.28125" style="0" bestFit="1" customWidth="1"/>
    <col min="4" max="4" width="9.28125" style="0" customWidth="1"/>
    <col min="5" max="5" width="12.28125" style="0" bestFit="1" customWidth="1"/>
    <col min="6" max="6" width="8.140625" style="0" customWidth="1"/>
    <col min="7" max="7" width="12.28125" style="0" bestFit="1" customWidth="1"/>
    <col min="8" max="8" width="9.28125" style="0" customWidth="1"/>
    <col min="9" max="9" width="11.57421875" style="0" customWidth="1"/>
  </cols>
  <sheetData>
    <row r="1" spans="1:9" ht="12.75">
      <c r="A1" s="5" t="s">
        <v>2</v>
      </c>
      <c r="B1" s="6" t="s">
        <v>169</v>
      </c>
      <c r="C1" s="57" t="s">
        <v>22</v>
      </c>
      <c r="D1" s="7" t="s">
        <v>23</v>
      </c>
      <c r="E1" s="57" t="s">
        <v>105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 t="s">
        <v>102</v>
      </c>
      <c r="F3" s="134">
        <v>0</v>
      </c>
      <c r="G3" s="135">
        <v>0</v>
      </c>
      <c r="H3" s="134">
        <v>0</v>
      </c>
      <c r="I3" s="115" t="s">
        <v>103</v>
      </c>
    </row>
    <row r="4" spans="1:9" ht="12.75">
      <c r="A4" s="5" t="s">
        <v>28</v>
      </c>
      <c r="B4" s="9" t="s">
        <v>29</v>
      </c>
      <c r="C4" s="10">
        <v>1502908.761</v>
      </c>
      <c r="D4" s="11">
        <v>0.049043069621177146</v>
      </c>
      <c r="E4" s="10">
        <v>1576616.02</v>
      </c>
      <c r="F4" s="11">
        <v>-0.009582163195322594</v>
      </c>
      <c r="G4" s="10">
        <v>1561508.628</v>
      </c>
      <c r="H4" s="11">
        <v>0.020325870399225152</v>
      </c>
      <c r="I4" s="12">
        <v>1593247.65</v>
      </c>
    </row>
    <row r="5" spans="1:9" ht="12.75">
      <c r="A5" s="13" t="s">
        <v>30</v>
      </c>
      <c r="B5" s="14" t="s">
        <v>31</v>
      </c>
      <c r="C5" s="15">
        <v>298376.281</v>
      </c>
      <c r="D5" s="16">
        <v>0.23843579912439486</v>
      </c>
      <c r="E5" s="15">
        <v>369519.868</v>
      </c>
      <c r="F5" s="16">
        <v>-0.1123120638265653</v>
      </c>
      <c r="G5" s="15">
        <v>328018.329</v>
      </c>
      <c r="H5" s="16">
        <v>0.029391287460646728</v>
      </c>
      <c r="I5" s="17">
        <v>337659.21</v>
      </c>
    </row>
    <row r="6" spans="1:9" ht="12.75">
      <c r="A6" s="13" t="s">
        <v>32</v>
      </c>
      <c r="B6" s="14" t="s">
        <v>33</v>
      </c>
      <c r="C6" s="15">
        <v>26922.317</v>
      </c>
      <c r="D6" s="16">
        <v>0.608516830107899</v>
      </c>
      <c r="E6" s="15">
        <v>43305</v>
      </c>
      <c r="F6" s="16">
        <v>-0.40409677866297194</v>
      </c>
      <c r="G6" s="15">
        <v>25805.589</v>
      </c>
      <c r="H6" s="16">
        <v>0.2606300131339765</v>
      </c>
      <c r="I6" s="17">
        <v>32531.3</v>
      </c>
    </row>
    <row r="7" spans="1:9" ht="12.75">
      <c r="A7" s="13" t="s">
        <v>34</v>
      </c>
      <c r="B7" s="14" t="s">
        <v>35</v>
      </c>
      <c r="C7" s="15">
        <v>62520.713</v>
      </c>
      <c r="D7" s="16">
        <v>-0.06843476017300064</v>
      </c>
      <c r="E7" s="15">
        <v>58242.123</v>
      </c>
      <c r="F7" s="16">
        <v>0.015830260857764362</v>
      </c>
      <c r="G7" s="15">
        <v>59164.111</v>
      </c>
      <c r="H7" s="16">
        <v>-0.1612144734161559</v>
      </c>
      <c r="I7" s="17">
        <v>49626</v>
      </c>
    </row>
    <row r="8" spans="1:9" ht="12.75">
      <c r="A8" s="13" t="s">
        <v>36</v>
      </c>
      <c r="B8" s="14" t="s">
        <v>37</v>
      </c>
      <c r="C8" s="15">
        <v>26591.434</v>
      </c>
      <c r="D8" s="16">
        <v>0.18014696010752929</v>
      </c>
      <c r="E8" s="15">
        <v>31381.8</v>
      </c>
      <c r="F8" s="16">
        <v>-0.22447890178383648</v>
      </c>
      <c r="G8" s="15">
        <v>24337.248</v>
      </c>
      <c r="H8" s="16">
        <v>0.2360929222564523</v>
      </c>
      <c r="I8" s="17">
        <v>30083.1</v>
      </c>
    </row>
    <row r="9" spans="1:9" ht="12.75">
      <c r="A9" s="13" t="s">
        <v>38</v>
      </c>
      <c r="B9" s="14" t="s">
        <v>39</v>
      </c>
      <c r="C9" s="15">
        <v>229665.89583</v>
      </c>
      <c r="D9" s="16">
        <v>0.17848820793289655</v>
      </c>
      <c r="E9" s="15">
        <v>270658.55</v>
      </c>
      <c r="F9" s="16">
        <v>-0.07266507560910232</v>
      </c>
      <c r="G9" s="15">
        <v>250991.126</v>
      </c>
      <c r="H9" s="16">
        <v>-0.010253816702667003</v>
      </c>
      <c r="I9" s="17">
        <v>248417.509</v>
      </c>
    </row>
    <row r="10" spans="1:9" ht="12.75">
      <c r="A10" s="13" t="s">
        <v>40</v>
      </c>
      <c r="B10" s="14" t="s">
        <v>41</v>
      </c>
      <c r="C10" s="15">
        <v>2100928.76974</v>
      </c>
      <c r="D10" s="16">
        <v>0.07267663352475116</v>
      </c>
      <c r="E10" s="15">
        <v>2253617.2</v>
      </c>
      <c r="F10" s="16">
        <v>-0.0018909409282110564</v>
      </c>
      <c r="G10" s="15">
        <v>2249355.743</v>
      </c>
      <c r="H10" s="16">
        <v>0.04074131772405917</v>
      </c>
      <c r="I10" s="17">
        <v>2340997.46</v>
      </c>
    </row>
    <row r="11" spans="1:9" ht="12.75">
      <c r="A11" s="13" t="s">
        <v>42</v>
      </c>
      <c r="B11" s="14" t="s">
        <v>43</v>
      </c>
      <c r="C11" s="15">
        <v>289490.06</v>
      </c>
      <c r="D11" s="43">
        <v>-0.13170232166175241</v>
      </c>
      <c r="E11" s="15">
        <v>251363.547</v>
      </c>
      <c r="F11" s="16">
        <v>0.004117036906707962</v>
      </c>
      <c r="G11" s="15">
        <v>252398.42</v>
      </c>
      <c r="H11" s="16">
        <v>0.12187716547512445</v>
      </c>
      <c r="I11" s="17">
        <v>283160.024</v>
      </c>
    </row>
    <row r="12" spans="1:9" ht="12.75">
      <c r="A12" s="13" t="s">
        <v>44</v>
      </c>
      <c r="B12" s="14" t="s">
        <v>45</v>
      </c>
      <c r="C12" s="15">
        <v>361828.199</v>
      </c>
      <c r="D12" s="43">
        <v>-0.03981349723380738</v>
      </c>
      <c r="E12" s="15">
        <v>347422.553</v>
      </c>
      <c r="F12" s="16">
        <v>-0.07676265046616015</v>
      </c>
      <c r="G12" s="15">
        <v>320753.477</v>
      </c>
      <c r="H12" s="16">
        <v>0.2419428956026561</v>
      </c>
      <c r="I12" s="17">
        <v>398357.502</v>
      </c>
    </row>
    <row r="13" spans="1:9" ht="12.75">
      <c r="A13" s="13" t="s">
        <v>46</v>
      </c>
      <c r="B13" s="14" t="s">
        <v>47</v>
      </c>
      <c r="C13" s="15">
        <v>386616</v>
      </c>
      <c r="D13" s="43">
        <v>0.3454062946179154</v>
      </c>
      <c r="E13" s="15">
        <v>520155.6</v>
      </c>
      <c r="F13" s="43">
        <v>0.03839903867227418</v>
      </c>
      <c r="G13" s="15">
        <v>540129.075</v>
      </c>
      <c r="H13" s="43">
        <v>-0.06027511294406797</v>
      </c>
      <c r="I13" s="17">
        <v>507572.734</v>
      </c>
    </row>
    <row r="14" spans="1:9" ht="12.75">
      <c r="A14" s="13" t="s">
        <v>49</v>
      </c>
      <c r="B14" s="14" t="s">
        <v>50</v>
      </c>
      <c r="C14" s="15">
        <v>44375.6</v>
      </c>
      <c r="D14" s="43">
        <v>0.12674532851386802</v>
      </c>
      <c r="E14" s="15">
        <v>50000</v>
      </c>
      <c r="F14" s="16">
        <v>0.0023751799999999637</v>
      </c>
      <c r="G14" s="15">
        <v>50118.759</v>
      </c>
      <c r="H14" s="16">
        <v>0.09739349292347806</v>
      </c>
      <c r="I14" s="17">
        <v>55000</v>
      </c>
    </row>
    <row r="15" spans="1:9" ht="12.75">
      <c r="A15" s="13" t="s">
        <v>51</v>
      </c>
      <c r="B15" s="14" t="s">
        <v>52</v>
      </c>
      <c r="C15" s="15">
        <v>4.887</v>
      </c>
      <c r="D15" s="43">
        <v>-1</v>
      </c>
      <c r="E15" s="15">
        <v>0</v>
      </c>
      <c r="F15" s="16" t="s">
        <v>48</v>
      </c>
      <c r="G15" s="15">
        <v>0</v>
      </c>
      <c r="H15" s="16" t="s">
        <v>48</v>
      </c>
      <c r="I15" s="17">
        <v>0</v>
      </c>
    </row>
    <row r="16" spans="1:9" ht="12.75">
      <c r="A16" s="13" t="s">
        <v>53</v>
      </c>
      <c r="B16" s="14" t="s">
        <v>54</v>
      </c>
      <c r="C16" s="15">
        <v>0</v>
      </c>
      <c r="D16" s="43" t="s">
        <v>48</v>
      </c>
      <c r="E16" s="15">
        <v>0</v>
      </c>
      <c r="F16" s="43" t="s">
        <v>48</v>
      </c>
      <c r="G16" s="15">
        <v>0</v>
      </c>
      <c r="H16" s="43" t="s">
        <v>48</v>
      </c>
      <c r="I16" s="17">
        <v>0</v>
      </c>
    </row>
    <row r="17" spans="1:9" ht="12.75">
      <c r="A17" s="13" t="s">
        <v>55</v>
      </c>
      <c r="B17" s="14" t="s">
        <v>56</v>
      </c>
      <c r="C17" s="15">
        <v>282095.292</v>
      </c>
      <c r="D17" s="16">
        <v>-0.9298720306186463</v>
      </c>
      <c r="E17" s="15">
        <v>19782.77</v>
      </c>
      <c r="F17" s="16">
        <v>1.6653658714123454</v>
      </c>
      <c r="G17" s="15">
        <v>52728.32</v>
      </c>
      <c r="H17" s="16">
        <v>-0.648392552616886</v>
      </c>
      <c r="I17" s="17">
        <v>18539.67</v>
      </c>
    </row>
    <row r="18" spans="1:9" ht="12.75">
      <c r="A18" s="13">
        <v>389</v>
      </c>
      <c r="B18" s="14" t="s">
        <v>57</v>
      </c>
      <c r="C18" s="15">
        <v>0</v>
      </c>
      <c r="D18" s="43" t="s">
        <v>48</v>
      </c>
      <c r="E18" s="15">
        <v>0</v>
      </c>
      <c r="F18" s="43" t="s">
        <v>48</v>
      </c>
      <c r="G18" s="15">
        <v>0</v>
      </c>
      <c r="H18" s="43" t="s">
        <v>48</v>
      </c>
      <c r="I18" s="17">
        <v>0</v>
      </c>
    </row>
    <row r="19" spans="1:9" ht="12.75">
      <c r="A19" s="18" t="s">
        <v>58</v>
      </c>
      <c r="B19" s="19" t="s">
        <v>59</v>
      </c>
      <c r="C19" s="20">
        <v>321373.372</v>
      </c>
      <c r="D19" s="43">
        <v>-0.3501259961263996</v>
      </c>
      <c r="E19" s="20">
        <v>208852.2</v>
      </c>
      <c r="F19" s="43">
        <v>0.08844532640786158</v>
      </c>
      <c r="G19" s="20">
        <v>227324.201</v>
      </c>
      <c r="H19" s="43">
        <v>-0.023675882182029512</v>
      </c>
      <c r="I19" s="21">
        <v>221942.1</v>
      </c>
    </row>
    <row r="20" spans="1:9" ht="12.75">
      <c r="A20" s="22" t="s">
        <v>60</v>
      </c>
      <c r="B20" s="23" t="s">
        <v>61</v>
      </c>
      <c r="C20" s="24">
        <v>4824460.518569999</v>
      </c>
      <c r="D20" s="25">
        <v>-0.007418443457509786</v>
      </c>
      <c r="E20" s="24">
        <v>4788670.5309999995</v>
      </c>
      <c r="F20" s="25">
        <v>-0.007359626178466622</v>
      </c>
      <c r="G20" s="24">
        <v>4753427.706</v>
      </c>
      <c r="H20" s="25">
        <v>0.018320462282423483</v>
      </c>
      <c r="I20" s="26">
        <v>4840512.699</v>
      </c>
    </row>
    <row r="21" spans="1:9" ht="12.75">
      <c r="A21" s="27" t="s">
        <v>62</v>
      </c>
      <c r="B21" s="28" t="s">
        <v>63</v>
      </c>
      <c r="C21" s="10">
        <v>2040076.01046</v>
      </c>
      <c r="D21" s="16">
        <v>0.005330188426434216</v>
      </c>
      <c r="E21" s="10">
        <v>2050950</v>
      </c>
      <c r="F21" s="16">
        <v>0.006484224871401057</v>
      </c>
      <c r="G21" s="10">
        <v>2064248.821</v>
      </c>
      <c r="H21" s="16">
        <v>0.016157053675265248</v>
      </c>
      <c r="I21" s="12">
        <v>2097601</v>
      </c>
    </row>
    <row r="22" spans="1:9" ht="12.75">
      <c r="A22" s="8" t="s">
        <v>64</v>
      </c>
      <c r="B22" s="29" t="s">
        <v>65</v>
      </c>
      <c r="C22" s="15">
        <v>150041.5421</v>
      </c>
      <c r="D22" s="16">
        <v>0.008034160960546464</v>
      </c>
      <c r="E22" s="15">
        <v>151247</v>
      </c>
      <c r="F22" s="16">
        <v>0.015767334228116842</v>
      </c>
      <c r="G22" s="15">
        <v>153631.762</v>
      </c>
      <c r="H22" s="16">
        <v>0.011620240351080608</v>
      </c>
      <c r="I22" s="17">
        <v>155417</v>
      </c>
    </row>
    <row r="23" spans="1:9" ht="12.75">
      <c r="A23" s="8" t="s">
        <v>66</v>
      </c>
      <c r="B23" s="29" t="s">
        <v>67</v>
      </c>
      <c r="C23" s="15">
        <v>340539.508</v>
      </c>
      <c r="D23" s="16">
        <v>-0.37105535490466496</v>
      </c>
      <c r="E23" s="15">
        <v>214180.5</v>
      </c>
      <c r="F23" s="16">
        <v>0.07489476399578857</v>
      </c>
      <c r="G23" s="15">
        <v>230221.498</v>
      </c>
      <c r="H23" s="16">
        <v>0.019973382329394784</v>
      </c>
      <c r="I23" s="17">
        <v>234819.8</v>
      </c>
    </row>
    <row r="24" spans="1:9" ht="12.75">
      <c r="A24" s="8" t="s">
        <v>68</v>
      </c>
      <c r="B24" s="29" t="s">
        <v>69</v>
      </c>
      <c r="C24" s="15">
        <v>356616.93341</v>
      </c>
      <c r="D24" s="16">
        <v>-0.09611765510470519</v>
      </c>
      <c r="E24" s="15">
        <v>322339.75</v>
      </c>
      <c r="F24" s="16">
        <v>0.10401589006630428</v>
      </c>
      <c r="G24" s="15">
        <v>355868.206</v>
      </c>
      <c r="H24" s="16">
        <v>-0.031503730344485954</v>
      </c>
      <c r="I24" s="17">
        <v>344657.03</v>
      </c>
    </row>
    <row r="25" spans="1:9" ht="12.75">
      <c r="A25" s="8" t="s">
        <v>70</v>
      </c>
      <c r="B25" s="29" t="s">
        <v>71</v>
      </c>
      <c r="C25" s="15">
        <v>1603088.34231</v>
      </c>
      <c r="D25" s="16">
        <v>0.036614799160363136</v>
      </c>
      <c r="E25" s="15">
        <v>1661785.1</v>
      </c>
      <c r="F25" s="16">
        <v>-0.006023652516802601</v>
      </c>
      <c r="G25" s="15">
        <v>1651775.084</v>
      </c>
      <c r="H25" s="16">
        <v>0.033895919330867</v>
      </c>
      <c r="I25" s="17">
        <v>1707763.519</v>
      </c>
    </row>
    <row r="26" spans="1:9" ht="12.75">
      <c r="A26" s="59" t="s">
        <v>72</v>
      </c>
      <c r="B26" s="29" t="s">
        <v>73</v>
      </c>
      <c r="C26" s="15">
        <v>27273.884</v>
      </c>
      <c r="D26" s="16">
        <v>3.3704409683637286</v>
      </c>
      <c r="E26" s="15">
        <v>119198.9</v>
      </c>
      <c r="F26" s="16">
        <v>-0.4021938625272548</v>
      </c>
      <c r="G26" s="15">
        <v>71257.834</v>
      </c>
      <c r="H26" s="16">
        <v>0.12802220454806404</v>
      </c>
      <c r="I26" s="17">
        <v>80380.419</v>
      </c>
    </row>
    <row r="27" spans="1:9" ht="12.75">
      <c r="A27" s="195">
        <v>489</v>
      </c>
      <c r="B27" s="29" t="s">
        <v>74</v>
      </c>
      <c r="C27" s="15">
        <v>0</v>
      </c>
      <c r="D27" s="16" t="s">
        <v>48</v>
      </c>
      <c r="E27" s="15">
        <v>0</v>
      </c>
      <c r="F27" s="16" t="s">
        <v>48</v>
      </c>
      <c r="G27" s="15">
        <v>0</v>
      </c>
      <c r="H27" s="16" t="s">
        <v>48</v>
      </c>
      <c r="I27" s="17">
        <v>0</v>
      </c>
    </row>
    <row r="28" spans="1:9" ht="12.75">
      <c r="A28" s="30" t="s">
        <v>75</v>
      </c>
      <c r="B28" s="31" t="s">
        <v>76</v>
      </c>
      <c r="C28" s="20">
        <v>321373.372</v>
      </c>
      <c r="D28" s="16">
        <v>-0.3501259961263996</v>
      </c>
      <c r="E28" s="20">
        <v>208852.2</v>
      </c>
      <c r="F28" s="16">
        <v>0.08844532640786158</v>
      </c>
      <c r="G28" s="20">
        <v>227324.201</v>
      </c>
      <c r="H28" s="16">
        <v>-0.023675882182029512</v>
      </c>
      <c r="I28" s="21">
        <v>221942.1</v>
      </c>
    </row>
    <row r="29" spans="1:9" ht="12.75">
      <c r="A29" s="51" t="s">
        <v>77</v>
      </c>
      <c r="B29" s="52" t="s">
        <v>78</v>
      </c>
      <c r="C29" s="24">
        <v>4839009.59228</v>
      </c>
      <c r="D29" s="53">
        <v>-0.022826187915853363</v>
      </c>
      <c r="E29" s="24">
        <v>4728553.45</v>
      </c>
      <c r="F29" s="53">
        <v>0.005450706283123486</v>
      </c>
      <c r="G29" s="24">
        <v>4754327.406</v>
      </c>
      <c r="H29" s="54">
        <v>0.01856276492204192</v>
      </c>
      <c r="I29" s="26">
        <v>4842580.868</v>
      </c>
    </row>
    <row r="30" spans="1:9" ht="12.75">
      <c r="A30" s="50" t="s">
        <v>79</v>
      </c>
      <c r="B30" s="32" t="s">
        <v>80</v>
      </c>
      <c r="C30" s="33">
        <v>14549.073710001074</v>
      </c>
      <c r="D30" s="136">
        <v>0</v>
      </c>
      <c r="E30" s="33">
        <v>-60117.08099999931</v>
      </c>
      <c r="F30" s="136">
        <v>0</v>
      </c>
      <c r="G30" s="34">
        <v>899.7000000001863</v>
      </c>
      <c r="H30" s="137">
        <v>0</v>
      </c>
      <c r="I30" s="35">
        <v>2068.1689999997616</v>
      </c>
    </row>
    <row r="31" spans="1:9" ht="12.75">
      <c r="A31" s="140">
        <v>0</v>
      </c>
      <c r="B31" s="28" t="s">
        <v>81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>
        <v>0</v>
      </c>
      <c r="I31" s="139">
        <v>0</v>
      </c>
    </row>
    <row r="32" spans="1:9" ht="12.75">
      <c r="A32" s="59" t="s">
        <v>82</v>
      </c>
      <c r="B32" s="29" t="s">
        <v>83</v>
      </c>
      <c r="C32" s="15">
        <v>256157.646</v>
      </c>
      <c r="D32" s="16">
        <v>0.06338851973991036</v>
      </c>
      <c r="E32" s="15">
        <v>272395.1</v>
      </c>
      <c r="F32" s="16">
        <v>-0.08663468983105788</v>
      </c>
      <c r="G32" s="15">
        <v>248796.235</v>
      </c>
      <c r="H32" s="16">
        <v>0.05967413051889641</v>
      </c>
      <c r="I32" s="17">
        <v>263642.934</v>
      </c>
    </row>
    <row r="33" spans="1:9" ht="12.75">
      <c r="A33" s="59" t="s">
        <v>84</v>
      </c>
      <c r="B33" s="29" t="s">
        <v>85</v>
      </c>
      <c r="C33" s="15">
        <v>0</v>
      </c>
      <c r="D33" s="16" t="s">
        <v>48</v>
      </c>
      <c r="E33" s="15">
        <v>10</v>
      </c>
      <c r="F33" s="16">
        <v>-1</v>
      </c>
      <c r="G33" s="15">
        <v>0</v>
      </c>
      <c r="H33" s="16" t="s">
        <v>48</v>
      </c>
      <c r="I33" s="17">
        <v>0</v>
      </c>
    </row>
    <row r="34" spans="1:9" ht="12.75">
      <c r="A34" s="8" t="s">
        <v>86</v>
      </c>
      <c r="B34" s="29" t="s">
        <v>87</v>
      </c>
      <c r="C34" s="15">
        <v>58569.8888</v>
      </c>
      <c r="D34" s="16">
        <v>0.2753310878746282</v>
      </c>
      <c r="E34" s="15">
        <v>74696</v>
      </c>
      <c r="F34" s="16">
        <v>0.09563597783013816</v>
      </c>
      <c r="G34" s="15">
        <v>81839.625</v>
      </c>
      <c r="H34" s="16">
        <v>-0.14155887200118525</v>
      </c>
      <c r="I34" s="17">
        <v>70254.5</v>
      </c>
    </row>
    <row r="35" spans="1:9" ht="12.75">
      <c r="A35" s="51" t="s">
        <v>88</v>
      </c>
      <c r="B35" s="52" t="s">
        <v>89</v>
      </c>
      <c r="C35" s="24">
        <v>314727.5348</v>
      </c>
      <c r="D35" s="54">
        <v>0.102862195456055</v>
      </c>
      <c r="E35" s="24">
        <v>347101.1</v>
      </c>
      <c r="F35" s="54">
        <v>-0.04743643854773146</v>
      </c>
      <c r="G35" s="24">
        <v>330635.86</v>
      </c>
      <c r="H35" s="54">
        <v>0.009864550082377702</v>
      </c>
      <c r="I35" s="26">
        <v>333897.434</v>
      </c>
    </row>
    <row r="36" spans="1:9" ht="12.75">
      <c r="A36" s="8" t="s">
        <v>90</v>
      </c>
      <c r="B36" s="29" t="s">
        <v>91</v>
      </c>
      <c r="C36" s="15">
        <v>8674.42</v>
      </c>
      <c r="D36" s="16">
        <v>-0.39223602269661834</v>
      </c>
      <c r="E36" s="15">
        <v>5272</v>
      </c>
      <c r="F36" s="16">
        <v>-0.20357188922610012</v>
      </c>
      <c r="G36" s="15">
        <v>4198.769</v>
      </c>
      <c r="H36" s="16">
        <v>1.2297011338323207</v>
      </c>
      <c r="I36" s="17">
        <v>9362</v>
      </c>
    </row>
    <row r="37" spans="1:9" ht="12.75">
      <c r="A37" s="8" t="s">
        <v>92</v>
      </c>
      <c r="B37" s="29" t="s">
        <v>93</v>
      </c>
      <c r="C37" s="15">
        <v>91622.03155</v>
      </c>
      <c r="D37" s="16">
        <v>-0.0963467126919431</v>
      </c>
      <c r="E37" s="15">
        <v>82794.55</v>
      </c>
      <c r="F37" s="16">
        <v>0.06005043810250798</v>
      </c>
      <c r="G37" s="15">
        <v>87766.399</v>
      </c>
      <c r="H37" s="16">
        <v>0.0054180871656816865</v>
      </c>
      <c r="I37" s="17">
        <v>88241.925</v>
      </c>
    </row>
    <row r="38" spans="1:9" ht="12.75">
      <c r="A38" s="51" t="s">
        <v>94</v>
      </c>
      <c r="B38" s="52" t="s">
        <v>95</v>
      </c>
      <c r="C38" s="24">
        <v>100296.45155</v>
      </c>
      <c r="D38" s="54">
        <v>-0.12193752980286764</v>
      </c>
      <c r="E38" s="24">
        <v>88066.55</v>
      </c>
      <c r="F38" s="54">
        <v>0.04426899884235277</v>
      </c>
      <c r="G38" s="24">
        <v>91965.168</v>
      </c>
      <c r="H38" s="54">
        <v>0.06131405098939196</v>
      </c>
      <c r="I38" s="26">
        <v>97603.925</v>
      </c>
    </row>
    <row r="39" spans="1:9" ht="12.75">
      <c r="A39" s="36" t="s">
        <v>96</v>
      </c>
      <c r="B39" s="37" t="s">
        <v>3</v>
      </c>
      <c r="C39" s="38">
        <v>214431.08325000003</v>
      </c>
      <c r="D39" s="39">
        <v>0.20800840099286286</v>
      </c>
      <c r="E39" s="38">
        <v>259034.55</v>
      </c>
      <c r="F39" s="39">
        <v>-0.07861444737777261</v>
      </c>
      <c r="G39" s="38">
        <v>238670.69199999998</v>
      </c>
      <c r="H39" s="39">
        <v>-0.009960095980280482</v>
      </c>
      <c r="I39" s="40">
        <v>236293.50900000002</v>
      </c>
    </row>
    <row r="40" spans="1:9" ht="12.75">
      <c r="A40" s="131" t="s">
        <v>0</v>
      </c>
      <c r="B40" s="29" t="s">
        <v>97</v>
      </c>
      <c r="C40" s="15">
        <v>244214.96954000107</v>
      </c>
      <c r="D40" s="16">
        <v>-0.1378846702289675</v>
      </c>
      <c r="E40" s="15">
        <v>210541.46900000068</v>
      </c>
      <c r="F40" s="16">
        <v>0.19639530965749727</v>
      </c>
      <c r="G40" s="15">
        <v>251890.82600000018</v>
      </c>
      <c r="H40" s="16">
        <v>-0.00557840085847518</v>
      </c>
      <c r="I40" s="17">
        <v>250485.67799999975</v>
      </c>
    </row>
    <row r="41" spans="1:9" ht="12.75">
      <c r="A41" s="131" t="s">
        <v>0</v>
      </c>
      <c r="B41" s="29" t="s">
        <v>98</v>
      </c>
      <c r="C41" s="15">
        <v>29783.886290001043</v>
      </c>
      <c r="D41" s="16">
        <v>-2.6281649925677852</v>
      </c>
      <c r="E41" s="15">
        <v>-48493.08099999931</v>
      </c>
      <c r="F41" s="16">
        <v>-1.2726189742408898</v>
      </c>
      <c r="G41" s="15">
        <v>13220.134000000195</v>
      </c>
      <c r="H41" s="16">
        <v>0.0735268644023974</v>
      </c>
      <c r="I41" s="17">
        <v>14192.168999999732</v>
      </c>
    </row>
    <row r="42" spans="1:9" ht="12.75">
      <c r="A42" s="141" t="s">
        <v>0</v>
      </c>
      <c r="B42" s="31" t="s">
        <v>99</v>
      </c>
      <c r="C42" s="20">
        <v>4279462.059539998</v>
      </c>
      <c r="D42" s="129">
        <v>0.07609233285152771</v>
      </c>
      <c r="E42" s="20">
        <v>4605096.311</v>
      </c>
      <c r="F42" s="129">
        <v>-0.016593277282273906</v>
      </c>
      <c r="G42" s="20">
        <v>4528682.671</v>
      </c>
      <c r="H42" s="129">
        <v>0.02798718572436746</v>
      </c>
      <c r="I42" s="21">
        <v>4655427.754000002</v>
      </c>
    </row>
    <row r="43" spans="1:9" ht="12.75">
      <c r="A43" s="141">
        <v>0</v>
      </c>
      <c r="B43" s="31" t="s">
        <v>5</v>
      </c>
      <c r="C43" s="66">
        <v>1.1388972430609638</v>
      </c>
      <c r="D43" s="142">
        <v>0</v>
      </c>
      <c r="E43" s="41">
        <v>0.8127930000071446</v>
      </c>
      <c r="F43" s="142">
        <v>0</v>
      </c>
      <c r="G43" s="41">
        <v>1.0553906886900055</v>
      </c>
      <c r="H43" s="142">
        <v>0</v>
      </c>
      <c r="I43" s="42">
        <v>1.0600616117643744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38.28125" style="0" customWidth="1"/>
    <col min="3" max="3" width="12.28125" style="0" bestFit="1" customWidth="1"/>
    <col min="4" max="4" width="10.8515625" style="0" customWidth="1"/>
    <col min="5" max="5" width="12.28125" style="0" bestFit="1" customWidth="1"/>
    <col min="6" max="6" width="11.140625" style="0" customWidth="1"/>
    <col min="7" max="7" width="12.28125" style="0" bestFit="1" customWidth="1"/>
    <col min="8" max="8" width="7.421875" style="0" customWidth="1"/>
    <col min="9" max="9" width="12.28125" style="0" bestFit="1" customWidth="1"/>
  </cols>
  <sheetData>
    <row r="1" spans="1:9" ht="12.75">
      <c r="A1" s="5" t="s">
        <v>20</v>
      </c>
      <c r="B1" s="6" t="s">
        <v>170</v>
      </c>
      <c r="C1" s="57" t="s">
        <v>22</v>
      </c>
      <c r="D1" s="7" t="s">
        <v>23</v>
      </c>
      <c r="E1" s="57" t="s">
        <v>105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 t="s">
        <v>27</v>
      </c>
      <c r="F3" s="134">
        <v>0</v>
      </c>
      <c r="G3" s="135" t="s">
        <v>27</v>
      </c>
      <c r="H3" s="134">
        <v>0</v>
      </c>
      <c r="I3" s="115" t="s">
        <v>27</v>
      </c>
    </row>
    <row r="4" spans="1:9" ht="12.75">
      <c r="A4" s="5" t="s">
        <v>28</v>
      </c>
      <c r="B4" s="9" t="s">
        <v>29</v>
      </c>
      <c r="C4" s="10">
        <v>356597</v>
      </c>
      <c r="D4" s="11"/>
      <c r="E4" s="10"/>
      <c r="F4" s="11"/>
      <c r="G4" s="10"/>
      <c r="H4" s="11"/>
      <c r="I4" s="12"/>
    </row>
    <row r="5" spans="1:9" ht="12.75">
      <c r="A5" s="13" t="s">
        <v>30</v>
      </c>
      <c r="B5" s="14" t="s">
        <v>31</v>
      </c>
      <c r="C5" s="15">
        <v>136705</v>
      </c>
      <c r="D5" s="16"/>
      <c r="E5" s="15"/>
      <c r="F5" s="16"/>
      <c r="G5" s="15"/>
      <c r="H5" s="16"/>
      <c r="I5" s="17"/>
    </row>
    <row r="6" spans="1:9" ht="12.75">
      <c r="A6" s="13" t="s">
        <v>32</v>
      </c>
      <c r="B6" s="14" t="s">
        <v>33</v>
      </c>
      <c r="C6" s="15">
        <v>17537</v>
      </c>
      <c r="D6" s="16"/>
      <c r="E6" s="15"/>
      <c r="F6" s="16"/>
      <c r="G6" s="15"/>
      <c r="H6" s="16"/>
      <c r="I6" s="17"/>
    </row>
    <row r="7" spans="1:9" ht="12.75">
      <c r="A7" s="13" t="s">
        <v>34</v>
      </c>
      <c r="B7" s="14" t="s">
        <v>35</v>
      </c>
      <c r="C7" s="15">
        <v>11170</v>
      </c>
      <c r="D7" s="16"/>
      <c r="E7" s="15"/>
      <c r="F7" s="16"/>
      <c r="G7" s="15"/>
      <c r="H7" s="16"/>
      <c r="I7" s="17"/>
    </row>
    <row r="8" spans="1:9" ht="12.75">
      <c r="A8" s="13" t="s">
        <v>36</v>
      </c>
      <c r="B8" s="14" t="s">
        <v>37</v>
      </c>
      <c r="C8" s="15">
        <v>306</v>
      </c>
      <c r="D8" s="16"/>
      <c r="E8" s="15"/>
      <c r="F8" s="16"/>
      <c r="G8" s="15"/>
      <c r="H8" s="16"/>
      <c r="I8" s="17"/>
    </row>
    <row r="9" spans="1:9" ht="12.75">
      <c r="A9" s="13" t="s">
        <v>38</v>
      </c>
      <c r="B9" s="14" t="s">
        <v>39</v>
      </c>
      <c r="C9" s="15">
        <v>76585</v>
      </c>
      <c r="D9" s="16"/>
      <c r="E9" s="15"/>
      <c r="F9" s="16"/>
      <c r="G9" s="15"/>
      <c r="H9" s="16"/>
      <c r="I9" s="17"/>
    </row>
    <row r="10" spans="1:9" ht="12.75">
      <c r="A10" s="13" t="s">
        <v>40</v>
      </c>
      <c r="B10" s="14" t="s">
        <v>41</v>
      </c>
      <c r="C10" s="15">
        <v>1055617</v>
      </c>
      <c r="D10" s="16"/>
      <c r="E10" s="15"/>
      <c r="F10" s="16"/>
      <c r="G10" s="15"/>
      <c r="H10" s="16"/>
      <c r="I10" s="17"/>
    </row>
    <row r="11" spans="1:9" ht="12.75">
      <c r="A11" s="13" t="s">
        <v>42</v>
      </c>
      <c r="B11" s="14" t="s">
        <v>43</v>
      </c>
      <c r="C11" s="15">
        <v>18587</v>
      </c>
      <c r="D11" s="43"/>
      <c r="E11" s="15"/>
      <c r="F11" s="16"/>
      <c r="G11" s="15"/>
      <c r="H11" s="16"/>
      <c r="I11" s="17"/>
    </row>
    <row r="12" spans="1:9" ht="12.75">
      <c r="A12" s="13" t="s">
        <v>44</v>
      </c>
      <c r="B12" s="14" t="s">
        <v>45</v>
      </c>
      <c r="C12" s="15">
        <v>333656</v>
      </c>
      <c r="D12" s="43"/>
      <c r="E12" s="15"/>
      <c r="F12" s="16"/>
      <c r="G12" s="15"/>
      <c r="H12" s="16"/>
      <c r="I12" s="17"/>
    </row>
    <row r="13" spans="1:9" ht="12.75">
      <c r="A13" s="13" t="s">
        <v>46</v>
      </c>
      <c r="B13" s="14" t="s">
        <v>47</v>
      </c>
      <c r="C13" s="15">
        <v>284145</v>
      </c>
      <c r="D13" s="43"/>
      <c r="E13" s="15"/>
      <c r="F13" s="43"/>
      <c r="G13" s="15"/>
      <c r="H13" s="43"/>
      <c r="I13" s="17"/>
    </row>
    <row r="14" spans="1:9" ht="12.75">
      <c r="A14" s="13" t="s">
        <v>49</v>
      </c>
      <c r="B14" s="14" t="s">
        <v>50</v>
      </c>
      <c r="C14" s="15">
        <v>12959</v>
      </c>
      <c r="D14" s="43"/>
      <c r="E14" s="15"/>
      <c r="F14" s="16"/>
      <c r="G14" s="15"/>
      <c r="H14" s="16"/>
      <c r="I14" s="17"/>
    </row>
    <row r="15" spans="1:9" ht="12.75">
      <c r="A15" s="13" t="s">
        <v>51</v>
      </c>
      <c r="B15" s="14" t="s">
        <v>52</v>
      </c>
      <c r="C15" s="15">
        <v>17462</v>
      </c>
      <c r="D15" s="43"/>
      <c r="E15" s="15"/>
      <c r="F15" s="16"/>
      <c r="G15" s="15"/>
      <c r="H15" s="16"/>
      <c r="I15" s="17"/>
    </row>
    <row r="16" spans="1:9" ht="12.75">
      <c r="A16" s="13" t="s">
        <v>53</v>
      </c>
      <c r="B16" s="14" t="s">
        <v>54</v>
      </c>
      <c r="C16" s="15">
        <v>92359</v>
      </c>
      <c r="D16" s="43"/>
      <c r="E16" s="15"/>
      <c r="F16" s="43"/>
      <c r="G16" s="15"/>
      <c r="H16" s="43"/>
      <c r="I16" s="17"/>
    </row>
    <row r="17" spans="1:9" ht="12.75">
      <c r="A17" s="13" t="s">
        <v>55</v>
      </c>
      <c r="B17" s="14" t="s">
        <v>56</v>
      </c>
      <c r="C17" s="15">
        <v>3911</v>
      </c>
      <c r="D17" s="16"/>
      <c r="E17" s="15"/>
      <c r="F17" s="16"/>
      <c r="G17" s="15"/>
      <c r="H17" s="16"/>
      <c r="I17" s="17"/>
    </row>
    <row r="18" spans="1:9" ht="12.75">
      <c r="A18" s="13">
        <v>389</v>
      </c>
      <c r="B18" s="14" t="s">
        <v>57</v>
      </c>
      <c r="C18" s="15">
        <v>0</v>
      </c>
      <c r="D18" s="43"/>
      <c r="E18" s="15"/>
      <c r="F18" s="43"/>
      <c r="G18" s="15"/>
      <c r="H18" s="43"/>
      <c r="I18" s="17"/>
    </row>
    <row r="19" spans="1:9" ht="12.75">
      <c r="A19" s="18" t="s">
        <v>58</v>
      </c>
      <c r="B19" s="19" t="s">
        <v>59</v>
      </c>
      <c r="C19" s="20">
        <v>128188</v>
      </c>
      <c r="D19" s="43"/>
      <c r="E19" s="20"/>
      <c r="F19" s="43"/>
      <c r="G19" s="20"/>
      <c r="H19" s="43"/>
      <c r="I19" s="21"/>
    </row>
    <row r="20" spans="1:9" ht="12.75">
      <c r="A20" s="22" t="s">
        <v>60</v>
      </c>
      <c r="B20" s="23" t="s">
        <v>61</v>
      </c>
      <c r="C20" s="24">
        <v>1769079</v>
      </c>
      <c r="D20" s="25"/>
      <c r="E20" s="24"/>
      <c r="F20" s="25"/>
      <c r="G20" s="24"/>
      <c r="H20" s="25"/>
      <c r="I20" s="26"/>
    </row>
    <row r="21" spans="1:9" ht="12.75">
      <c r="A21" s="27" t="s">
        <v>62</v>
      </c>
      <c r="B21" s="28" t="s">
        <v>63</v>
      </c>
      <c r="C21" s="10">
        <v>628576</v>
      </c>
      <c r="D21" s="16"/>
      <c r="E21" s="10"/>
      <c r="F21" s="16"/>
      <c r="G21" s="10"/>
      <c r="H21" s="16"/>
      <c r="I21" s="12"/>
    </row>
    <row r="22" spans="1:9" ht="12.75">
      <c r="A22" s="8" t="s">
        <v>64</v>
      </c>
      <c r="B22" s="29" t="s">
        <v>65</v>
      </c>
      <c r="C22" s="15">
        <v>65968</v>
      </c>
      <c r="D22" s="16"/>
      <c r="E22" s="15"/>
      <c r="F22" s="16"/>
      <c r="G22" s="15"/>
      <c r="H22" s="16"/>
      <c r="I22" s="17"/>
    </row>
    <row r="23" spans="1:9" ht="12.75">
      <c r="A23" s="8" t="s">
        <v>66</v>
      </c>
      <c r="B23" s="29" t="s">
        <v>67</v>
      </c>
      <c r="C23" s="15">
        <v>62308</v>
      </c>
      <c r="D23" s="16"/>
      <c r="E23" s="15"/>
      <c r="F23" s="16"/>
      <c r="G23" s="15"/>
      <c r="H23" s="16"/>
      <c r="I23" s="17"/>
    </row>
    <row r="24" spans="1:9" ht="12.75">
      <c r="A24" s="8" t="s">
        <v>68</v>
      </c>
      <c r="B24" s="29" t="s">
        <v>69</v>
      </c>
      <c r="C24" s="15">
        <v>150856</v>
      </c>
      <c r="D24" s="16"/>
      <c r="E24" s="15"/>
      <c r="F24" s="16"/>
      <c r="G24" s="15"/>
      <c r="H24" s="16"/>
      <c r="I24" s="17"/>
    </row>
    <row r="25" spans="1:9" ht="12.75">
      <c r="A25" s="8" t="s">
        <v>70</v>
      </c>
      <c r="B25" s="29" t="s">
        <v>71</v>
      </c>
      <c r="C25" s="15">
        <v>750837</v>
      </c>
      <c r="D25" s="16"/>
      <c r="E25" s="15"/>
      <c r="F25" s="16"/>
      <c r="G25" s="15"/>
      <c r="H25" s="16"/>
      <c r="I25" s="17"/>
    </row>
    <row r="26" spans="1:9" ht="12.75">
      <c r="A26" s="59" t="s">
        <v>72</v>
      </c>
      <c r="B26" s="29" t="s">
        <v>73</v>
      </c>
      <c r="C26" s="15">
        <v>10482</v>
      </c>
      <c r="D26" s="16"/>
      <c r="E26" s="15"/>
      <c r="F26" s="16"/>
      <c r="G26" s="15"/>
      <c r="H26" s="16"/>
      <c r="I26" s="17"/>
    </row>
    <row r="27" spans="1:9" ht="12.75">
      <c r="A27" s="195">
        <v>489</v>
      </c>
      <c r="B27" s="29" t="s">
        <v>74</v>
      </c>
      <c r="C27" s="15">
        <v>0</v>
      </c>
      <c r="D27" s="16"/>
      <c r="E27" s="15"/>
      <c r="F27" s="16"/>
      <c r="G27" s="15"/>
      <c r="H27" s="16"/>
      <c r="I27" s="17"/>
    </row>
    <row r="28" spans="1:9" ht="12.75">
      <c r="A28" s="30" t="s">
        <v>75</v>
      </c>
      <c r="B28" s="31" t="s">
        <v>76</v>
      </c>
      <c r="C28" s="20">
        <v>128188</v>
      </c>
      <c r="D28" s="16"/>
      <c r="E28" s="20"/>
      <c r="F28" s="16"/>
      <c r="G28" s="20"/>
      <c r="H28" s="16"/>
      <c r="I28" s="21"/>
    </row>
    <row r="29" spans="1:9" ht="12.75">
      <c r="A29" s="51" t="s">
        <v>77</v>
      </c>
      <c r="B29" s="52" t="s">
        <v>78</v>
      </c>
      <c r="C29" s="24">
        <v>1797215</v>
      </c>
      <c r="D29" s="53"/>
      <c r="E29" s="24"/>
      <c r="F29" s="53"/>
      <c r="G29" s="24"/>
      <c r="H29" s="54"/>
      <c r="I29" s="26"/>
    </row>
    <row r="30" spans="1:9" ht="12.75">
      <c r="A30" s="50">
        <v>0</v>
      </c>
      <c r="B30" s="32" t="s">
        <v>80</v>
      </c>
      <c r="C30" s="33">
        <v>28136</v>
      </c>
      <c r="D30" s="136"/>
      <c r="E30" s="33"/>
      <c r="F30" s="136"/>
      <c r="G30" s="34"/>
      <c r="H30" s="137"/>
      <c r="I30" s="35"/>
    </row>
    <row r="31" spans="1:9" ht="12.75">
      <c r="A31" s="140">
        <v>0</v>
      </c>
      <c r="B31" s="28" t="s">
        <v>81</v>
      </c>
      <c r="C31" s="138">
        <v>0</v>
      </c>
      <c r="D31" s="143"/>
      <c r="E31" s="138"/>
      <c r="F31" s="143"/>
      <c r="G31" s="138"/>
      <c r="H31" s="138"/>
      <c r="I31" s="139"/>
    </row>
    <row r="32" spans="1:9" ht="12.75">
      <c r="A32" s="59" t="s">
        <v>82</v>
      </c>
      <c r="B32" s="29" t="s">
        <v>83</v>
      </c>
      <c r="C32" s="15">
        <v>100202</v>
      </c>
      <c r="D32" s="16"/>
      <c r="E32" s="15"/>
      <c r="F32" s="16"/>
      <c r="G32" s="15"/>
      <c r="H32" s="16"/>
      <c r="I32" s="17"/>
    </row>
    <row r="33" spans="1:9" ht="12.75">
      <c r="A33" s="59" t="s">
        <v>84</v>
      </c>
      <c r="B33" s="29" t="s">
        <v>85</v>
      </c>
      <c r="C33" s="15">
        <v>176</v>
      </c>
      <c r="D33" s="16"/>
      <c r="E33" s="15"/>
      <c r="F33" s="16"/>
      <c r="G33" s="15"/>
      <c r="H33" s="16"/>
      <c r="I33" s="17"/>
    </row>
    <row r="34" spans="1:9" ht="12.75">
      <c r="A34" s="8" t="s">
        <v>86</v>
      </c>
      <c r="B34" s="29" t="s">
        <v>87</v>
      </c>
      <c r="C34" s="15">
        <v>19303</v>
      </c>
      <c r="D34" s="16"/>
      <c r="E34" s="15"/>
      <c r="F34" s="16"/>
      <c r="G34" s="15"/>
      <c r="H34" s="16"/>
      <c r="I34" s="17"/>
    </row>
    <row r="35" spans="1:9" ht="12.75">
      <c r="A35" s="51" t="s">
        <v>88</v>
      </c>
      <c r="B35" s="52" t="s">
        <v>89</v>
      </c>
      <c r="C35" s="24">
        <v>119681</v>
      </c>
      <c r="D35" s="54"/>
      <c r="E35" s="24"/>
      <c r="F35" s="54"/>
      <c r="G35" s="24"/>
      <c r="H35" s="54"/>
      <c r="I35" s="26"/>
    </row>
    <row r="36" spans="1:9" ht="12.75">
      <c r="A36" s="8" t="s">
        <v>90</v>
      </c>
      <c r="B36" s="29" t="s">
        <v>91</v>
      </c>
      <c r="C36" s="15">
        <v>140</v>
      </c>
      <c r="D36" s="16"/>
      <c r="E36" s="15"/>
      <c r="F36" s="16"/>
      <c r="G36" s="15"/>
      <c r="H36" s="16"/>
      <c r="I36" s="17"/>
    </row>
    <row r="37" spans="1:9" ht="12.75">
      <c r="A37" s="8" t="s">
        <v>171</v>
      </c>
      <c r="B37" s="29" t="s">
        <v>93</v>
      </c>
      <c r="C37" s="15">
        <v>37115</v>
      </c>
      <c r="D37" s="16"/>
      <c r="E37" s="15"/>
      <c r="F37" s="16"/>
      <c r="G37" s="15"/>
      <c r="H37" s="16"/>
      <c r="I37" s="17"/>
    </row>
    <row r="38" spans="1:9" ht="12.75">
      <c r="A38" s="51" t="s">
        <v>94</v>
      </c>
      <c r="B38" s="52" t="s">
        <v>95</v>
      </c>
      <c r="C38" s="24">
        <v>37255</v>
      </c>
      <c r="D38" s="54"/>
      <c r="E38" s="24"/>
      <c r="F38" s="54"/>
      <c r="G38" s="24"/>
      <c r="H38" s="54"/>
      <c r="I38" s="26"/>
    </row>
    <row r="39" spans="1:9" ht="12.75">
      <c r="A39" s="36" t="s">
        <v>96</v>
      </c>
      <c r="B39" s="37" t="s">
        <v>3</v>
      </c>
      <c r="C39" s="38">
        <v>82426</v>
      </c>
      <c r="D39" s="39"/>
      <c r="E39" s="38"/>
      <c r="F39" s="39"/>
      <c r="G39" s="38"/>
      <c r="H39" s="39"/>
      <c r="I39" s="40"/>
    </row>
    <row r="40" spans="1:9" ht="12.75">
      <c r="A40" s="131" t="s">
        <v>0</v>
      </c>
      <c r="B40" s="29" t="s">
        <v>97</v>
      </c>
      <c r="C40" s="15">
        <v>104721</v>
      </c>
      <c r="D40" s="16"/>
      <c r="E40" s="15"/>
      <c r="F40" s="16"/>
      <c r="G40" s="15"/>
      <c r="H40" s="16"/>
      <c r="I40" s="17"/>
    </row>
    <row r="41" spans="1:9" ht="12.75">
      <c r="A41" s="131" t="s">
        <v>0</v>
      </c>
      <c r="B41" s="29" t="s">
        <v>98</v>
      </c>
      <c r="C41" s="15">
        <v>22295</v>
      </c>
      <c r="D41" s="16"/>
      <c r="E41" s="15"/>
      <c r="F41" s="16"/>
      <c r="G41" s="15"/>
      <c r="H41" s="16"/>
      <c r="I41" s="17"/>
    </row>
    <row r="42" spans="1:9" ht="12.75">
      <c r="A42" s="141" t="s">
        <v>0</v>
      </c>
      <c r="B42" s="31" t="s">
        <v>99</v>
      </c>
      <c r="C42" s="20">
        <v>1679770</v>
      </c>
      <c r="D42" s="129"/>
      <c r="E42" s="20"/>
      <c r="F42" s="129"/>
      <c r="G42" s="20"/>
      <c r="H42" s="129"/>
      <c r="I42" s="21"/>
    </row>
    <row r="43" spans="1:9" ht="12.75">
      <c r="A43" s="141">
        <v>0</v>
      </c>
      <c r="B43" s="31" t="s">
        <v>5</v>
      </c>
      <c r="C43" s="66">
        <v>1.2704850411277995</v>
      </c>
      <c r="D43" s="142"/>
      <c r="E43" s="41"/>
      <c r="F43" s="142"/>
      <c r="G43" s="41"/>
      <c r="H43" s="142"/>
      <c r="I43" s="4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86"/>
  <sheetViews>
    <sheetView zoomScale="115" zoomScaleNormal="115" zoomScalePageLayoutView="0" workbookViewId="0" topLeftCell="A1">
      <selection activeCell="A1" sqref="A1:G186"/>
    </sheetView>
  </sheetViews>
  <sheetFormatPr defaultColWidth="11.421875" defaultRowHeight="12.75"/>
  <cols>
    <col min="1" max="1" width="16.7109375" style="252" customWidth="1"/>
    <col min="2" max="2" width="3.7109375" style="252" customWidth="1"/>
    <col min="3" max="3" width="39.7109375" style="252" customWidth="1"/>
    <col min="4" max="4" width="12.7109375" style="252" customWidth="1"/>
    <col min="5" max="5" width="11.421875" style="252" customWidth="1"/>
    <col min="6" max="6" width="12.7109375" style="252" customWidth="1"/>
    <col min="7" max="16384" width="11.421875" style="252" customWidth="1"/>
  </cols>
  <sheetData>
    <row r="1" spans="1:55" s="243" customFormat="1" ht="18" customHeight="1">
      <c r="A1" s="476" t="s">
        <v>220</v>
      </c>
      <c r="B1" s="477" t="s">
        <v>451</v>
      </c>
      <c r="C1" s="477" t="s">
        <v>170</v>
      </c>
      <c r="D1" s="241" t="s">
        <v>22</v>
      </c>
      <c r="E1" s="240" t="s">
        <v>105</v>
      </c>
      <c r="F1" s="241" t="s">
        <v>22</v>
      </c>
      <c r="G1" s="240" t="s">
        <v>105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7" s="249" customFormat="1" ht="15" customHeight="1">
      <c r="A2" s="244"/>
      <c r="B2" s="245"/>
      <c r="C2" s="246" t="s">
        <v>222</v>
      </c>
      <c r="D2" s="248">
        <v>2011</v>
      </c>
      <c r="E2" s="247">
        <v>2012</v>
      </c>
      <c r="F2" s="248">
        <v>2012</v>
      </c>
      <c r="G2" s="247">
        <v>2013</v>
      </c>
    </row>
    <row r="3" spans="1:7" ht="15" customHeight="1">
      <c r="A3" s="609" t="s">
        <v>223</v>
      </c>
      <c r="B3" s="610"/>
      <c r="C3" s="610"/>
      <c r="D3" s="250"/>
      <c r="F3" s="250"/>
      <c r="G3" s="253" t="s">
        <v>103</v>
      </c>
    </row>
    <row r="4" spans="1:7" s="260" customFormat="1" ht="12.75" customHeight="1">
      <c r="A4" s="479">
        <v>30</v>
      </c>
      <c r="B4" s="480"/>
      <c r="C4" s="256" t="s">
        <v>29</v>
      </c>
      <c r="D4" s="257"/>
      <c r="E4" s="257">
        <v>363937</v>
      </c>
      <c r="F4" s="258">
        <v>362410</v>
      </c>
      <c r="G4" s="259">
        <v>371282</v>
      </c>
    </row>
    <row r="5" spans="1:7" s="260" customFormat="1" ht="12.75" customHeight="1">
      <c r="A5" s="261">
        <v>31</v>
      </c>
      <c r="B5" s="262"/>
      <c r="C5" s="263" t="s">
        <v>224</v>
      </c>
      <c r="D5" s="264"/>
      <c r="E5" s="264">
        <v>139547</v>
      </c>
      <c r="F5" s="266">
        <v>140502</v>
      </c>
      <c r="G5" s="267">
        <v>143526</v>
      </c>
    </row>
    <row r="6" spans="1:7" s="260" customFormat="1" ht="12.75" customHeight="1">
      <c r="A6" s="268" t="s">
        <v>32</v>
      </c>
      <c r="B6" s="269"/>
      <c r="C6" s="270" t="s">
        <v>225</v>
      </c>
      <c r="D6" s="271"/>
      <c r="E6" s="271">
        <v>12613</v>
      </c>
      <c r="F6" s="272">
        <v>11342</v>
      </c>
      <c r="G6" s="273">
        <v>11742</v>
      </c>
    </row>
    <row r="7" spans="1:7" s="260" customFormat="1" ht="12.75" customHeight="1">
      <c r="A7" s="268" t="s">
        <v>226</v>
      </c>
      <c r="B7" s="269"/>
      <c r="C7" s="270" t="s">
        <v>227</v>
      </c>
      <c r="D7" s="271"/>
      <c r="E7" s="271">
        <v>0</v>
      </c>
      <c r="F7" s="272">
        <v>3</v>
      </c>
      <c r="G7" s="273">
        <v>0</v>
      </c>
    </row>
    <row r="8" spans="1:7" s="260" customFormat="1" ht="12.75" customHeight="1">
      <c r="A8" s="274">
        <v>330</v>
      </c>
      <c r="B8" s="262"/>
      <c r="C8" s="263" t="s">
        <v>228</v>
      </c>
      <c r="D8" s="275"/>
      <c r="E8" s="275">
        <v>74018</v>
      </c>
      <c r="F8" s="266">
        <v>65916</v>
      </c>
      <c r="G8" s="276">
        <v>49801</v>
      </c>
    </row>
    <row r="9" spans="1:7" s="260" customFormat="1" ht="12.75" customHeight="1">
      <c r="A9" s="274">
        <v>332</v>
      </c>
      <c r="B9" s="262"/>
      <c r="C9" s="263" t="s">
        <v>229</v>
      </c>
      <c r="D9" s="275"/>
      <c r="E9" s="275">
        <v>0</v>
      </c>
      <c r="F9" s="266">
        <v>0</v>
      </c>
      <c r="G9" s="276">
        <v>0</v>
      </c>
    </row>
    <row r="10" spans="1:7" s="260" customFormat="1" ht="12.75" customHeight="1">
      <c r="A10" s="274">
        <v>339</v>
      </c>
      <c r="B10" s="262"/>
      <c r="C10" s="263" t="s">
        <v>230</v>
      </c>
      <c r="D10" s="275">
        <v>0</v>
      </c>
      <c r="E10" s="275">
        <v>0</v>
      </c>
      <c r="F10" s="266">
        <v>0</v>
      </c>
      <c r="G10" s="276">
        <v>0</v>
      </c>
    </row>
    <row r="11" spans="1:7" s="260" customFormat="1" ht="12.75" customHeight="1">
      <c r="A11" s="261">
        <v>350</v>
      </c>
      <c r="B11" s="262"/>
      <c r="C11" s="263" t="s">
        <v>231</v>
      </c>
      <c r="D11" s="275">
        <v>0</v>
      </c>
      <c r="E11" s="275">
        <v>3194.5</v>
      </c>
      <c r="F11" s="275">
        <v>12070</v>
      </c>
      <c r="G11" s="277">
        <v>23747</v>
      </c>
    </row>
    <row r="12" spans="1:7" s="285" customFormat="1" ht="12.75">
      <c r="A12" s="278">
        <v>351</v>
      </c>
      <c r="B12" s="279"/>
      <c r="C12" s="280" t="s">
        <v>232</v>
      </c>
      <c r="D12" s="346"/>
      <c r="E12" s="282">
        <v>164</v>
      </c>
      <c r="F12" s="283">
        <v>218</v>
      </c>
      <c r="G12" s="482">
        <v>0</v>
      </c>
    </row>
    <row r="13" spans="1:7" s="260" customFormat="1" ht="12.75" customHeight="1">
      <c r="A13" s="261">
        <v>36</v>
      </c>
      <c r="B13" s="262"/>
      <c r="C13" s="263" t="s">
        <v>233</v>
      </c>
      <c r="D13" s="275"/>
      <c r="E13" s="264">
        <v>879475</v>
      </c>
      <c r="F13" s="286">
        <v>928719</v>
      </c>
      <c r="G13" s="276">
        <v>904183</v>
      </c>
    </row>
    <row r="14" spans="1:7" s="260" customFormat="1" ht="12.75" customHeight="1">
      <c r="A14" s="287" t="s">
        <v>234</v>
      </c>
      <c r="B14" s="262"/>
      <c r="C14" s="288" t="s">
        <v>235</v>
      </c>
      <c r="D14" s="275"/>
      <c r="E14" s="323">
        <v>348545</v>
      </c>
      <c r="F14" s="286">
        <v>367253</v>
      </c>
      <c r="G14" s="276">
        <v>368429</v>
      </c>
    </row>
    <row r="15" spans="1:7" s="260" customFormat="1" ht="12.75" customHeight="1">
      <c r="A15" s="287" t="s">
        <v>236</v>
      </c>
      <c r="B15" s="262"/>
      <c r="C15" s="288" t="s">
        <v>237</v>
      </c>
      <c r="D15" s="275"/>
      <c r="E15" s="323">
        <v>145711</v>
      </c>
      <c r="F15" s="286">
        <v>145053</v>
      </c>
      <c r="G15" s="276">
        <v>149093</v>
      </c>
    </row>
    <row r="16" spans="1:7" s="297" customFormat="1" ht="39" customHeight="1">
      <c r="A16" s="287" t="s">
        <v>238</v>
      </c>
      <c r="B16" s="483"/>
      <c r="C16" s="288" t="s">
        <v>239</v>
      </c>
      <c r="D16" s="293"/>
      <c r="E16" s="294">
        <v>0</v>
      </c>
      <c r="F16" s="295">
        <v>0</v>
      </c>
      <c r="G16" s="296">
        <v>0</v>
      </c>
    </row>
    <row r="17" spans="1:7" s="299" customFormat="1" ht="12.75">
      <c r="A17" s="261">
        <v>37</v>
      </c>
      <c r="B17" s="262"/>
      <c r="C17" s="263" t="s">
        <v>240</v>
      </c>
      <c r="D17" s="316"/>
      <c r="E17" s="264">
        <v>276686</v>
      </c>
      <c r="F17" s="286">
        <v>263703</v>
      </c>
      <c r="G17" s="298">
        <v>274296</v>
      </c>
    </row>
    <row r="18" spans="1:7" s="299" customFormat="1" ht="12.75">
      <c r="A18" s="322" t="s">
        <v>241</v>
      </c>
      <c r="B18" s="269"/>
      <c r="C18" s="270" t="s">
        <v>242</v>
      </c>
      <c r="D18" s="316"/>
      <c r="E18" s="323">
        <v>0</v>
      </c>
      <c r="F18" s="286">
        <v>0</v>
      </c>
      <c r="G18" s="298">
        <v>0</v>
      </c>
    </row>
    <row r="19" spans="1:7" s="299" customFormat="1" ht="12.75">
      <c r="A19" s="322" t="s">
        <v>243</v>
      </c>
      <c r="B19" s="269"/>
      <c r="C19" s="270" t="s">
        <v>244</v>
      </c>
      <c r="D19" s="316"/>
      <c r="E19" s="323">
        <v>69850</v>
      </c>
      <c r="F19" s="286">
        <v>67533</v>
      </c>
      <c r="G19" s="298">
        <v>69224</v>
      </c>
    </row>
    <row r="20" spans="1:7" s="260" customFormat="1" ht="12.75" customHeight="1">
      <c r="A20" s="301">
        <v>39</v>
      </c>
      <c r="B20" s="302"/>
      <c r="C20" s="303" t="s">
        <v>245</v>
      </c>
      <c r="D20" s="306"/>
      <c r="E20" s="304">
        <v>144400</v>
      </c>
      <c r="F20" s="307">
        <v>139142</v>
      </c>
      <c r="G20" s="308">
        <v>143659</v>
      </c>
    </row>
    <row r="21" spans="1:7" ht="12.75" customHeight="1">
      <c r="A21" s="309"/>
      <c r="B21" s="309"/>
      <c r="C21" s="310" t="s">
        <v>246</v>
      </c>
      <c r="D21" s="311">
        <f>D4+D5+SUM(D8:D13)+D17</f>
        <v>0</v>
      </c>
      <c r="E21" s="311">
        <f>E4+E5+SUM(E8:E13)+E17</f>
        <v>1737021.5</v>
      </c>
      <c r="F21" s="311">
        <f>F4+F5+SUM(F8:F13)+F17</f>
        <v>1773538</v>
      </c>
      <c r="G21" s="311">
        <f>G4+G5+SUM(G8:G13)+G17</f>
        <v>1766835</v>
      </c>
    </row>
    <row r="22" spans="1:7" s="260" customFormat="1" ht="12.75" customHeight="1">
      <c r="A22" s="274" t="s">
        <v>247</v>
      </c>
      <c r="B22" s="262"/>
      <c r="C22" s="263" t="s">
        <v>248</v>
      </c>
      <c r="D22" s="275"/>
      <c r="E22" s="275">
        <v>578120</v>
      </c>
      <c r="F22" s="266">
        <v>555361</v>
      </c>
      <c r="G22" s="276">
        <v>579670</v>
      </c>
    </row>
    <row r="23" spans="1:7" s="260" customFormat="1" ht="12.75" customHeight="1">
      <c r="A23" s="274" t="s">
        <v>249</v>
      </c>
      <c r="B23" s="262"/>
      <c r="C23" s="263" t="s">
        <v>250</v>
      </c>
      <c r="D23" s="275"/>
      <c r="E23" s="275">
        <v>159129</v>
      </c>
      <c r="F23" s="266">
        <v>187324</v>
      </c>
      <c r="G23" s="276">
        <v>163862</v>
      </c>
    </row>
    <row r="24" spans="1:7" s="313" customFormat="1" ht="12.75" customHeight="1">
      <c r="A24" s="261">
        <v>41</v>
      </c>
      <c r="B24" s="262"/>
      <c r="C24" s="263" t="s">
        <v>251</v>
      </c>
      <c r="D24" s="275"/>
      <c r="E24" s="275">
        <v>13016</v>
      </c>
      <c r="F24" s="266">
        <v>38393</v>
      </c>
      <c r="G24" s="276">
        <v>34188</v>
      </c>
    </row>
    <row r="25" spans="1:7" s="260" customFormat="1" ht="12.75" customHeight="1">
      <c r="A25" s="314">
        <v>42</v>
      </c>
      <c r="B25" s="315"/>
      <c r="C25" s="263" t="s">
        <v>252</v>
      </c>
      <c r="D25" s="275"/>
      <c r="E25" s="275">
        <v>134436</v>
      </c>
      <c r="F25" s="266">
        <v>140277</v>
      </c>
      <c r="G25" s="276">
        <v>140204</v>
      </c>
    </row>
    <row r="26" spans="1:7" s="318" customFormat="1" ht="12.75" customHeight="1">
      <c r="A26" s="278">
        <v>430</v>
      </c>
      <c r="B26" s="262"/>
      <c r="C26" s="263" t="s">
        <v>253</v>
      </c>
      <c r="D26" s="316"/>
      <c r="E26" s="316">
        <v>3945</v>
      </c>
      <c r="F26" s="317">
        <v>4635</v>
      </c>
      <c r="G26" s="298">
        <v>4537</v>
      </c>
    </row>
    <row r="27" spans="1:7" s="318" customFormat="1" ht="12.75" customHeight="1">
      <c r="A27" s="278">
        <v>431</v>
      </c>
      <c r="B27" s="262"/>
      <c r="C27" s="263" t="s">
        <v>254</v>
      </c>
      <c r="D27" s="316"/>
      <c r="E27" s="316">
        <v>0</v>
      </c>
      <c r="F27" s="317">
        <v>0</v>
      </c>
      <c r="G27" s="298">
        <v>0</v>
      </c>
    </row>
    <row r="28" spans="1:7" s="318" customFormat="1" ht="12.75" customHeight="1">
      <c r="A28" s="278">
        <v>432</v>
      </c>
      <c r="B28" s="262"/>
      <c r="C28" s="263" t="s">
        <v>255</v>
      </c>
      <c r="D28" s="316"/>
      <c r="E28" s="316">
        <v>0</v>
      </c>
      <c r="F28" s="317">
        <v>0</v>
      </c>
      <c r="G28" s="298">
        <v>0</v>
      </c>
    </row>
    <row r="29" spans="1:7" s="318" customFormat="1" ht="12.75" customHeight="1">
      <c r="A29" s="278">
        <v>439</v>
      </c>
      <c r="B29" s="262"/>
      <c r="C29" s="263" t="s">
        <v>256</v>
      </c>
      <c r="D29" s="316"/>
      <c r="E29" s="316">
        <v>0</v>
      </c>
      <c r="F29" s="317">
        <v>0</v>
      </c>
      <c r="G29" s="298">
        <v>0</v>
      </c>
    </row>
    <row r="30" spans="1:7" s="260" customFormat="1" ht="25.5">
      <c r="A30" s="278">
        <v>450</v>
      </c>
      <c r="B30" s="279"/>
      <c r="C30" s="280" t="s">
        <v>257</v>
      </c>
      <c r="D30" s="264">
        <v>0</v>
      </c>
      <c r="E30" s="264">
        <v>26495</v>
      </c>
      <c r="F30" s="264">
        <v>31382</v>
      </c>
      <c r="G30" s="319">
        <v>19464</v>
      </c>
    </row>
    <row r="31" spans="1:7" s="490" customFormat="1" ht="30" customHeight="1">
      <c r="A31" s="278">
        <v>451</v>
      </c>
      <c r="B31" s="279"/>
      <c r="C31" s="280" t="s">
        <v>258</v>
      </c>
      <c r="D31" s="344"/>
      <c r="E31" s="281">
        <v>0</v>
      </c>
      <c r="F31" s="320">
        <v>0</v>
      </c>
      <c r="G31" s="321">
        <v>0</v>
      </c>
    </row>
    <row r="32" spans="1:7" s="260" customFormat="1" ht="12.75" customHeight="1">
      <c r="A32" s="261">
        <v>46</v>
      </c>
      <c r="B32" s="262"/>
      <c r="C32" s="263" t="s">
        <v>259</v>
      </c>
      <c r="D32" s="275"/>
      <c r="E32" s="275">
        <v>432993</v>
      </c>
      <c r="F32" s="266">
        <v>445951</v>
      </c>
      <c r="G32" s="276">
        <v>451098</v>
      </c>
    </row>
    <row r="33" spans="1:7" s="285" customFormat="1" ht="12.75" customHeight="1">
      <c r="A33" s="322" t="s">
        <v>260</v>
      </c>
      <c r="B33" s="269"/>
      <c r="C33" s="270" t="s">
        <v>261</v>
      </c>
      <c r="D33" s="271"/>
      <c r="E33" s="271">
        <v>0</v>
      </c>
      <c r="F33" s="266">
        <v>0</v>
      </c>
      <c r="G33" s="273">
        <v>0</v>
      </c>
    </row>
    <row r="34" spans="1:7" s="260" customFormat="1" ht="15" customHeight="1">
      <c r="A34" s="261">
        <v>47</v>
      </c>
      <c r="B34" s="262"/>
      <c r="C34" s="263" t="s">
        <v>240</v>
      </c>
      <c r="D34" s="275"/>
      <c r="E34" s="275">
        <v>276686</v>
      </c>
      <c r="F34" s="266">
        <v>263702</v>
      </c>
      <c r="G34" s="276">
        <v>274296</v>
      </c>
    </row>
    <row r="35" spans="1:7" s="260" customFormat="1" ht="15" customHeight="1">
      <c r="A35" s="301">
        <v>49</v>
      </c>
      <c r="B35" s="302"/>
      <c r="C35" s="303" t="s">
        <v>262</v>
      </c>
      <c r="D35" s="306"/>
      <c r="E35" s="304">
        <v>144400</v>
      </c>
      <c r="F35" s="307">
        <v>139141</v>
      </c>
      <c r="G35" s="308">
        <v>143659</v>
      </c>
    </row>
    <row r="36" spans="1:7" ht="13.5" customHeight="1">
      <c r="A36" s="309"/>
      <c r="B36" s="335"/>
      <c r="C36" s="310" t="s">
        <v>263</v>
      </c>
      <c r="D36" s="311">
        <f>D22+D23+D24+D25+D26+D27+D28+D29+D30+D31+D32+D34</f>
        <v>0</v>
      </c>
      <c r="E36" s="311">
        <f>E22+E23+E24+E25+E26+E27+E28+E29+E30+E31+E32+E34</f>
        <v>1624820</v>
      </c>
      <c r="F36" s="311">
        <f>F22+F23+F24+F25+F26+F27+F28+F29+F30+F31+F32+F34</f>
        <v>1667025</v>
      </c>
      <c r="G36" s="311">
        <f>G22+G23+G24+G25+G26+G27+G28+G29+G30+G31+G32+G34</f>
        <v>1667319</v>
      </c>
    </row>
    <row r="37" spans="1:7" s="487" customFormat="1" ht="15" customHeight="1">
      <c r="A37" s="309"/>
      <c r="B37" s="335"/>
      <c r="C37" s="310" t="s">
        <v>264</v>
      </c>
      <c r="D37" s="311">
        <f>D36-D21</f>
        <v>0</v>
      </c>
      <c r="E37" s="311">
        <f>E36-E21</f>
        <v>-112201.5</v>
      </c>
      <c r="F37" s="311">
        <f>F36-F21</f>
        <v>-106513</v>
      </c>
      <c r="G37" s="311">
        <f>G36-G21</f>
        <v>-99516</v>
      </c>
    </row>
    <row r="38" spans="1:7" s="285" customFormat="1" ht="15" customHeight="1">
      <c r="A38" s="274">
        <v>340</v>
      </c>
      <c r="B38" s="262"/>
      <c r="C38" s="263" t="s">
        <v>265</v>
      </c>
      <c r="D38" s="316"/>
      <c r="E38" s="264">
        <v>10700</v>
      </c>
      <c r="F38" s="286">
        <v>10152</v>
      </c>
      <c r="G38" s="276">
        <v>9872</v>
      </c>
    </row>
    <row r="39" spans="1:7" s="285" customFormat="1" ht="15" customHeight="1">
      <c r="A39" s="274">
        <v>341</v>
      </c>
      <c r="B39" s="262"/>
      <c r="C39" s="263" t="s">
        <v>266</v>
      </c>
      <c r="D39" s="316"/>
      <c r="E39" s="275">
        <v>0</v>
      </c>
      <c r="F39" s="266">
        <v>0</v>
      </c>
      <c r="G39" s="276">
        <v>0</v>
      </c>
    </row>
    <row r="40" spans="1:7" s="285" customFormat="1" ht="15" customHeight="1">
      <c r="A40" s="274">
        <v>342</v>
      </c>
      <c r="B40" s="262"/>
      <c r="C40" s="263" t="s">
        <v>267</v>
      </c>
      <c r="D40" s="316"/>
      <c r="E40" s="275">
        <v>1539</v>
      </c>
      <c r="F40" s="266">
        <v>1663</v>
      </c>
      <c r="G40" s="276">
        <v>1323</v>
      </c>
    </row>
    <row r="41" spans="1:7" s="285" customFormat="1" ht="15" customHeight="1">
      <c r="A41" s="274">
        <v>343</v>
      </c>
      <c r="B41" s="262"/>
      <c r="C41" s="263" t="s">
        <v>268</v>
      </c>
      <c r="D41" s="316"/>
      <c r="E41" s="275">
        <v>2052</v>
      </c>
      <c r="F41" s="266">
        <v>2101</v>
      </c>
      <c r="G41" s="276">
        <v>2501</v>
      </c>
    </row>
    <row r="42" spans="1:7" s="285" customFormat="1" ht="15" customHeight="1">
      <c r="A42" s="274">
        <v>344</v>
      </c>
      <c r="B42" s="262"/>
      <c r="C42" s="263" t="s">
        <v>269</v>
      </c>
      <c r="D42" s="316"/>
      <c r="E42" s="275">
        <v>0</v>
      </c>
      <c r="F42" s="266">
        <v>0</v>
      </c>
      <c r="G42" s="276">
        <v>0</v>
      </c>
    </row>
    <row r="43" spans="1:7" s="285" customFormat="1" ht="15" customHeight="1">
      <c r="A43" s="274">
        <v>349</v>
      </c>
      <c r="B43" s="262"/>
      <c r="C43" s="263" t="s">
        <v>270</v>
      </c>
      <c r="D43" s="316"/>
      <c r="E43" s="275">
        <v>259</v>
      </c>
      <c r="F43" s="266">
        <v>306</v>
      </c>
      <c r="G43" s="276">
        <v>241</v>
      </c>
    </row>
    <row r="44" spans="1:7" s="260" customFormat="1" ht="15" customHeight="1">
      <c r="A44" s="261">
        <v>440</v>
      </c>
      <c r="B44" s="262"/>
      <c r="C44" s="263" t="s">
        <v>271</v>
      </c>
      <c r="D44" s="316"/>
      <c r="E44" s="264">
        <v>12588.9</v>
      </c>
      <c r="F44" s="286">
        <v>12437</v>
      </c>
      <c r="G44" s="276">
        <v>12012</v>
      </c>
    </row>
    <row r="45" spans="1:7" s="260" customFormat="1" ht="15" customHeight="1">
      <c r="A45" s="261">
        <v>441</v>
      </c>
      <c r="B45" s="262"/>
      <c r="C45" s="263" t="s">
        <v>272</v>
      </c>
      <c r="D45" s="316"/>
      <c r="E45" s="264">
        <v>0</v>
      </c>
      <c r="F45" s="286">
        <v>0</v>
      </c>
      <c r="G45" s="276">
        <v>0</v>
      </c>
    </row>
    <row r="46" spans="1:7" s="260" customFormat="1" ht="15" customHeight="1">
      <c r="A46" s="261">
        <v>442</v>
      </c>
      <c r="B46" s="262"/>
      <c r="C46" s="263" t="s">
        <v>273</v>
      </c>
      <c r="D46" s="316"/>
      <c r="E46" s="264">
        <v>36756.6</v>
      </c>
      <c r="F46" s="286">
        <v>36392</v>
      </c>
      <c r="G46" s="276">
        <v>43754</v>
      </c>
    </row>
    <row r="47" spans="1:7" s="260" customFormat="1" ht="15" customHeight="1">
      <c r="A47" s="261">
        <v>443</v>
      </c>
      <c r="B47" s="262"/>
      <c r="C47" s="263" t="s">
        <v>274</v>
      </c>
      <c r="D47" s="316"/>
      <c r="E47" s="264">
        <v>18895</v>
      </c>
      <c r="F47" s="286">
        <v>17023</v>
      </c>
      <c r="G47" s="276">
        <v>18003</v>
      </c>
    </row>
    <row r="48" spans="1:7" s="260" customFormat="1" ht="15" customHeight="1">
      <c r="A48" s="261">
        <v>444</v>
      </c>
      <c r="B48" s="262"/>
      <c r="C48" s="263" t="s">
        <v>269</v>
      </c>
      <c r="D48" s="316"/>
      <c r="E48" s="264">
        <v>1200</v>
      </c>
      <c r="F48" s="286">
        <v>1054</v>
      </c>
      <c r="G48" s="276">
        <v>1000</v>
      </c>
    </row>
    <row r="49" spans="1:7" s="260" customFormat="1" ht="15" customHeight="1">
      <c r="A49" s="261">
        <v>445</v>
      </c>
      <c r="B49" s="262"/>
      <c r="C49" s="263" t="s">
        <v>275</v>
      </c>
      <c r="D49" s="316"/>
      <c r="E49" s="264">
        <v>0</v>
      </c>
      <c r="F49" s="286">
        <v>75</v>
      </c>
      <c r="G49" s="276">
        <v>0</v>
      </c>
    </row>
    <row r="50" spans="1:7" s="260" customFormat="1" ht="15" customHeight="1">
      <c r="A50" s="261">
        <v>446</v>
      </c>
      <c r="B50" s="262"/>
      <c r="C50" s="263" t="s">
        <v>276</v>
      </c>
      <c r="D50" s="316"/>
      <c r="E50" s="264">
        <v>0</v>
      </c>
      <c r="F50" s="286">
        <v>0</v>
      </c>
      <c r="G50" s="276">
        <v>0</v>
      </c>
    </row>
    <row r="51" spans="1:7" s="260" customFormat="1" ht="15" customHeight="1">
      <c r="A51" s="261">
        <v>447</v>
      </c>
      <c r="B51" s="262"/>
      <c r="C51" s="263" t="s">
        <v>277</v>
      </c>
      <c r="D51" s="316"/>
      <c r="E51" s="264">
        <v>771</v>
      </c>
      <c r="F51" s="286">
        <v>724</v>
      </c>
      <c r="G51" s="276">
        <v>672</v>
      </c>
    </row>
    <row r="52" spans="1:7" s="260" customFormat="1" ht="15" customHeight="1">
      <c r="A52" s="261">
        <v>448</v>
      </c>
      <c r="B52" s="262"/>
      <c r="C52" s="263" t="s">
        <v>278</v>
      </c>
      <c r="D52" s="316"/>
      <c r="E52" s="264">
        <v>0</v>
      </c>
      <c r="F52" s="286">
        <v>0</v>
      </c>
      <c r="G52" s="276">
        <v>0</v>
      </c>
    </row>
    <row r="53" spans="1:7" s="260" customFormat="1" ht="15" customHeight="1">
      <c r="A53" s="261">
        <v>449</v>
      </c>
      <c r="B53" s="262"/>
      <c r="C53" s="263" t="s">
        <v>279</v>
      </c>
      <c r="D53" s="316"/>
      <c r="E53" s="264">
        <v>0</v>
      </c>
      <c r="F53" s="286">
        <v>0</v>
      </c>
      <c r="G53" s="276">
        <v>0</v>
      </c>
    </row>
    <row r="54" spans="1:7" s="285" customFormat="1" ht="13.5" customHeight="1">
      <c r="A54" s="329" t="s">
        <v>280</v>
      </c>
      <c r="B54" s="330"/>
      <c r="C54" s="330" t="s">
        <v>281</v>
      </c>
      <c r="D54" s="497"/>
      <c r="E54" s="332">
        <v>0</v>
      </c>
      <c r="F54" s="333">
        <v>0</v>
      </c>
      <c r="G54" s="334">
        <v>0</v>
      </c>
    </row>
    <row r="55" spans="1:7" ht="15" customHeight="1">
      <c r="A55" s="335"/>
      <c r="B55" s="335"/>
      <c r="C55" s="310" t="s">
        <v>282</v>
      </c>
      <c r="D55" s="311">
        <f>SUM(D44:D53)-SUM(D38:D43)</f>
        <v>0</v>
      </c>
      <c r="E55" s="311">
        <f>SUM(E44:E53)-SUM(E38:E43)</f>
        <v>55661.5</v>
      </c>
      <c r="F55" s="311">
        <f>SUM(F44:F53)-SUM(F38:F43)</f>
        <v>53483</v>
      </c>
      <c r="G55" s="311">
        <f>SUM(G44:G53)-SUM(G38:G43)</f>
        <v>61504</v>
      </c>
    </row>
    <row r="56" spans="1:7" ht="14.25" customHeight="1">
      <c r="A56" s="335"/>
      <c r="B56" s="335"/>
      <c r="C56" s="310" t="s">
        <v>283</v>
      </c>
      <c r="D56" s="311">
        <f>D55+D37</f>
        <v>0</v>
      </c>
      <c r="E56" s="311">
        <f>E55+E37</f>
        <v>-56540</v>
      </c>
      <c r="F56" s="311">
        <f>F55+F37</f>
        <v>-53030</v>
      </c>
      <c r="G56" s="311">
        <f>G55+G37</f>
        <v>-38012</v>
      </c>
    </row>
    <row r="57" spans="1:7" s="260" customFormat="1" ht="15.75" customHeight="1">
      <c r="A57" s="336">
        <v>380</v>
      </c>
      <c r="B57" s="337"/>
      <c r="C57" s="338" t="s">
        <v>284</v>
      </c>
      <c r="D57" s="340"/>
      <c r="E57" s="339">
        <v>0</v>
      </c>
      <c r="F57" s="341">
        <v>0</v>
      </c>
      <c r="G57" s="342">
        <v>0</v>
      </c>
    </row>
    <row r="58" spans="1:7" s="260" customFormat="1" ht="15.75" customHeight="1">
      <c r="A58" s="336">
        <v>381</v>
      </c>
      <c r="B58" s="337"/>
      <c r="C58" s="338" t="s">
        <v>285</v>
      </c>
      <c r="D58" s="340"/>
      <c r="E58" s="339">
        <v>0</v>
      </c>
      <c r="F58" s="341">
        <v>0</v>
      </c>
      <c r="G58" s="342">
        <v>0</v>
      </c>
    </row>
    <row r="59" spans="1:7" s="285" customFormat="1" ht="25.5">
      <c r="A59" s="278">
        <v>383</v>
      </c>
      <c r="B59" s="279"/>
      <c r="C59" s="280" t="s">
        <v>286</v>
      </c>
      <c r="D59" s="344"/>
      <c r="E59" s="264">
        <v>0</v>
      </c>
      <c r="F59" s="345">
        <v>0</v>
      </c>
      <c r="G59" s="321">
        <v>0</v>
      </c>
    </row>
    <row r="60" spans="1:7" s="285" customFormat="1" ht="12.75">
      <c r="A60" s="278">
        <v>3840</v>
      </c>
      <c r="B60" s="279"/>
      <c r="C60" s="280" t="s">
        <v>287</v>
      </c>
      <c r="D60" s="346"/>
      <c r="E60" s="491">
        <v>0</v>
      </c>
      <c r="F60" s="508">
        <v>0</v>
      </c>
      <c r="G60" s="482">
        <v>0</v>
      </c>
    </row>
    <row r="61" spans="1:7" s="285" customFormat="1" ht="12.75">
      <c r="A61" s="278">
        <v>3841</v>
      </c>
      <c r="B61" s="279"/>
      <c r="C61" s="280" t="s">
        <v>288</v>
      </c>
      <c r="D61" s="346"/>
      <c r="E61" s="491">
        <v>0</v>
      </c>
      <c r="F61" s="508">
        <v>0</v>
      </c>
      <c r="G61" s="482">
        <v>0</v>
      </c>
    </row>
    <row r="62" spans="1:7" s="285" customFormat="1" ht="12.75">
      <c r="A62" s="349">
        <v>386</v>
      </c>
      <c r="B62" s="350"/>
      <c r="C62" s="351" t="s">
        <v>289</v>
      </c>
      <c r="D62" s="346"/>
      <c r="E62" s="491">
        <v>0</v>
      </c>
      <c r="F62" s="508">
        <v>0</v>
      </c>
      <c r="G62" s="482">
        <v>0</v>
      </c>
    </row>
    <row r="63" spans="1:7" s="285" customFormat="1" ht="25.5">
      <c r="A63" s="278">
        <v>387</v>
      </c>
      <c r="B63" s="279"/>
      <c r="C63" s="280" t="s">
        <v>290</v>
      </c>
      <c r="D63" s="346"/>
      <c r="E63" s="491">
        <v>0</v>
      </c>
      <c r="F63" s="508">
        <v>0</v>
      </c>
      <c r="G63" s="482">
        <v>0</v>
      </c>
    </row>
    <row r="64" spans="1:7" s="285" customFormat="1" ht="12.75">
      <c r="A64" s="274">
        <v>389</v>
      </c>
      <c r="B64" s="352"/>
      <c r="C64" s="263" t="s">
        <v>57</v>
      </c>
      <c r="D64" s="275"/>
      <c r="E64" s="275">
        <v>0</v>
      </c>
      <c r="F64" s="266">
        <v>1682</v>
      </c>
      <c r="G64" s="276">
        <v>0</v>
      </c>
    </row>
    <row r="65" spans="1:7" s="260" customFormat="1" ht="12.75">
      <c r="A65" s="274" t="s">
        <v>291</v>
      </c>
      <c r="B65" s="262"/>
      <c r="C65" s="263" t="s">
        <v>292</v>
      </c>
      <c r="D65" s="275"/>
      <c r="E65" s="275">
        <v>0</v>
      </c>
      <c r="F65" s="266">
        <v>0</v>
      </c>
      <c r="G65" s="276">
        <v>0</v>
      </c>
    </row>
    <row r="66" spans="1:7" s="355" customFormat="1" ht="25.5">
      <c r="A66" s="492" t="s">
        <v>293</v>
      </c>
      <c r="B66" s="354"/>
      <c r="C66" s="280" t="s">
        <v>294</v>
      </c>
      <c r="D66" s="344"/>
      <c r="E66" s="344">
        <v>0</v>
      </c>
      <c r="F66" s="312">
        <v>0</v>
      </c>
      <c r="G66" s="321">
        <v>0</v>
      </c>
    </row>
    <row r="67" spans="1:7" s="260" customFormat="1" ht="12.75">
      <c r="A67" s="353">
        <v>481</v>
      </c>
      <c r="B67" s="262"/>
      <c r="C67" s="263" t="s">
        <v>295</v>
      </c>
      <c r="D67" s="275"/>
      <c r="E67" s="275">
        <v>0</v>
      </c>
      <c r="F67" s="266">
        <v>0</v>
      </c>
      <c r="G67" s="276">
        <v>0</v>
      </c>
    </row>
    <row r="68" spans="1:7" s="260" customFormat="1" ht="12.75">
      <c r="A68" s="353">
        <v>482</v>
      </c>
      <c r="B68" s="262"/>
      <c r="C68" s="263" t="s">
        <v>296</v>
      </c>
      <c r="D68" s="275"/>
      <c r="E68" s="275">
        <v>0</v>
      </c>
      <c r="F68" s="266">
        <v>0</v>
      </c>
      <c r="G68" s="276">
        <v>0</v>
      </c>
    </row>
    <row r="69" spans="1:7" s="260" customFormat="1" ht="12.75">
      <c r="A69" s="353">
        <v>483</v>
      </c>
      <c r="B69" s="262"/>
      <c r="C69" s="263" t="s">
        <v>297</v>
      </c>
      <c r="D69" s="275"/>
      <c r="E69" s="275">
        <v>0</v>
      </c>
      <c r="F69" s="266">
        <v>0</v>
      </c>
      <c r="G69" s="276">
        <v>0</v>
      </c>
    </row>
    <row r="70" spans="1:7" s="260" customFormat="1" ht="12.75">
      <c r="A70" s="353">
        <v>484</v>
      </c>
      <c r="B70" s="262"/>
      <c r="C70" s="263" t="s">
        <v>298</v>
      </c>
      <c r="D70" s="275"/>
      <c r="E70" s="275">
        <v>0</v>
      </c>
      <c r="F70" s="266">
        <v>0</v>
      </c>
      <c r="G70" s="276">
        <v>0</v>
      </c>
    </row>
    <row r="71" spans="1:7" s="260" customFormat="1" ht="12.75">
      <c r="A71" s="353">
        <v>485</v>
      </c>
      <c r="B71" s="262"/>
      <c r="C71" s="263" t="s">
        <v>299</v>
      </c>
      <c r="D71" s="275"/>
      <c r="E71" s="275">
        <v>0</v>
      </c>
      <c r="F71" s="266">
        <v>0</v>
      </c>
      <c r="G71" s="276">
        <v>0</v>
      </c>
    </row>
    <row r="72" spans="1:7" s="260" customFormat="1" ht="12.75">
      <c r="A72" s="353">
        <v>486</v>
      </c>
      <c r="B72" s="262"/>
      <c r="C72" s="263" t="s">
        <v>300</v>
      </c>
      <c r="D72" s="275"/>
      <c r="E72" s="275">
        <v>0</v>
      </c>
      <c r="F72" s="266">
        <v>0</v>
      </c>
      <c r="G72" s="276">
        <v>0</v>
      </c>
    </row>
    <row r="73" spans="1:7" s="285" customFormat="1" ht="12.75">
      <c r="A73" s="353">
        <v>487</v>
      </c>
      <c r="B73" s="269"/>
      <c r="C73" s="263" t="s">
        <v>301</v>
      </c>
      <c r="D73" s="275"/>
      <c r="E73" s="264">
        <v>0</v>
      </c>
      <c r="F73" s="286">
        <v>0</v>
      </c>
      <c r="G73" s="276">
        <v>0</v>
      </c>
    </row>
    <row r="74" spans="1:7" s="285" customFormat="1" ht="12.75">
      <c r="A74" s="353">
        <v>489</v>
      </c>
      <c r="B74" s="356"/>
      <c r="C74" s="303" t="s">
        <v>74</v>
      </c>
      <c r="D74" s="275"/>
      <c r="E74" s="264">
        <v>43000</v>
      </c>
      <c r="F74" s="286">
        <v>18129</v>
      </c>
      <c r="G74" s="276">
        <v>22000</v>
      </c>
    </row>
    <row r="75" spans="1:7" s="285" customFormat="1" ht="12.75">
      <c r="A75" s="357" t="s">
        <v>302</v>
      </c>
      <c r="B75" s="356"/>
      <c r="C75" s="330" t="s">
        <v>303</v>
      </c>
      <c r="D75" s="275"/>
      <c r="E75" s="275">
        <v>0</v>
      </c>
      <c r="F75" s="266">
        <v>0</v>
      </c>
      <c r="G75" s="276">
        <v>0</v>
      </c>
    </row>
    <row r="76" spans="1:7" ht="12.75">
      <c r="A76" s="309"/>
      <c r="B76" s="309"/>
      <c r="C76" s="310" t="s">
        <v>304</v>
      </c>
      <c r="D76" s="311">
        <f>SUM(D65:D74)-SUM(D57:D64)</f>
        <v>0</v>
      </c>
      <c r="E76" s="311">
        <f>SUM(E65:E74)-SUM(E57:E64)</f>
        <v>43000</v>
      </c>
      <c r="F76" s="311">
        <f>SUM(F65:F74)-SUM(F57:F64)</f>
        <v>16447</v>
      </c>
      <c r="G76" s="311">
        <f>SUM(G65:G74)-SUM(G57:G64)</f>
        <v>22000</v>
      </c>
    </row>
    <row r="77" spans="1:7" ht="12.75">
      <c r="A77" s="358"/>
      <c r="B77" s="358"/>
      <c r="C77" s="310" t="s">
        <v>305</v>
      </c>
      <c r="D77" s="311">
        <f>D56+D76</f>
        <v>0</v>
      </c>
      <c r="E77" s="311">
        <f>E56+E76</f>
        <v>-13540</v>
      </c>
      <c r="F77" s="311">
        <f>F56+F76</f>
        <v>-36583</v>
      </c>
      <c r="G77" s="311">
        <f>G56+G76</f>
        <v>-16012</v>
      </c>
    </row>
    <row r="78" spans="1:7" ht="12.75">
      <c r="A78" s="359">
        <v>3</v>
      </c>
      <c r="B78" s="359"/>
      <c r="C78" s="360" t="s">
        <v>306</v>
      </c>
      <c r="D78" s="361">
        <f>D20+D21+SUM(D38:D43)+SUM(D57:D64)</f>
        <v>0</v>
      </c>
      <c r="E78" s="361">
        <f>E20+E21+SUM(E38:E43)+SUM(E57:E64)</f>
        <v>1895971.5</v>
      </c>
      <c r="F78" s="361">
        <f>F20+F21+SUM(F38:F43)+SUM(F57:F64)</f>
        <v>1928584</v>
      </c>
      <c r="G78" s="361">
        <f>G20+G21+SUM(G38:G43)+SUM(G57:G64)</f>
        <v>1924431</v>
      </c>
    </row>
    <row r="79" spans="1:7" ht="12.75">
      <c r="A79" s="359">
        <v>4</v>
      </c>
      <c r="B79" s="359"/>
      <c r="C79" s="360" t="s">
        <v>307</v>
      </c>
      <c r="D79" s="361">
        <f>D35+D36+SUM(D44:D53)+SUM(D65:D74)</f>
        <v>0</v>
      </c>
      <c r="E79" s="361">
        <f>E35+E36+SUM(E44:E53)+SUM(E65:E74)</f>
        <v>1882431.5</v>
      </c>
      <c r="F79" s="361">
        <f>F35+F36+SUM(F44:F53)+SUM(F65:F74)</f>
        <v>1892000</v>
      </c>
      <c r="G79" s="361">
        <f>G35+G36+SUM(G44:G53)+SUM(G65:G74)</f>
        <v>1908419</v>
      </c>
    </row>
    <row r="80" spans="1:7" ht="12.75">
      <c r="A80" s="362"/>
      <c r="B80" s="362"/>
      <c r="C80" s="363"/>
      <c r="D80" s="364"/>
      <c r="E80" s="364"/>
      <c r="F80" s="364"/>
      <c r="G80" s="364"/>
    </row>
    <row r="81" spans="1:7" ht="12.75">
      <c r="A81" s="611" t="s">
        <v>308</v>
      </c>
      <c r="B81" s="612"/>
      <c r="C81" s="612"/>
      <c r="D81" s="366"/>
      <c r="E81" s="366"/>
      <c r="F81" s="366"/>
      <c r="G81" s="365"/>
    </row>
    <row r="82" spans="1:7" s="260" customFormat="1" ht="12.75">
      <c r="A82" s="367">
        <v>50</v>
      </c>
      <c r="B82" s="368"/>
      <c r="C82" s="368" t="s">
        <v>309</v>
      </c>
      <c r="D82" s="316"/>
      <c r="E82" s="275">
        <v>130150</v>
      </c>
      <c r="F82" s="266">
        <v>128288</v>
      </c>
      <c r="G82" s="276">
        <v>123794</v>
      </c>
    </row>
    <row r="83" spans="1:7" s="260" customFormat="1" ht="12.75">
      <c r="A83" s="367">
        <v>51</v>
      </c>
      <c r="B83" s="368"/>
      <c r="C83" s="368" t="s">
        <v>310</v>
      </c>
      <c r="D83" s="316"/>
      <c r="E83" s="275">
        <v>0</v>
      </c>
      <c r="F83" s="266">
        <v>0</v>
      </c>
      <c r="G83" s="276">
        <v>0</v>
      </c>
    </row>
    <row r="84" spans="1:7" s="260" customFormat="1" ht="12.75">
      <c r="A84" s="367">
        <v>52</v>
      </c>
      <c r="B84" s="368"/>
      <c r="C84" s="368" t="s">
        <v>311</v>
      </c>
      <c r="D84" s="316"/>
      <c r="E84" s="275">
        <v>0</v>
      </c>
      <c r="F84" s="266">
        <v>0</v>
      </c>
      <c r="G84" s="276">
        <v>0</v>
      </c>
    </row>
    <row r="85" spans="1:7" s="260" customFormat="1" ht="12.75">
      <c r="A85" s="369">
        <v>54</v>
      </c>
      <c r="B85" s="370"/>
      <c r="C85" s="370" t="s">
        <v>312</v>
      </c>
      <c r="D85" s="316"/>
      <c r="E85" s="271">
        <v>900</v>
      </c>
      <c r="F85" s="266">
        <v>343</v>
      </c>
      <c r="G85" s="276">
        <v>900</v>
      </c>
    </row>
    <row r="86" spans="1:7" s="260" customFormat="1" ht="12.75">
      <c r="A86" s="369">
        <v>55</v>
      </c>
      <c r="B86" s="370"/>
      <c r="C86" s="370" t="s">
        <v>313</v>
      </c>
      <c r="D86" s="316"/>
      <c r="E86" s="271">
        <v>0</v>
      </c>
      <c r="F86" s="266">
        <v>0</v>
      </c>
      <c r="G86" s="276">
        <v>0</v>
      </c>
    </row>
    <row r="87" spans="1:7" s="260" customFormat="1" ht="12.75">
      <c r="A87" s="369">
        <v>56</v>
      </c>
      <c r="B87" s="370"/>
      <c r="C87" s="370" t="s">
        <v>314</v>
      </c>
      <c r="D87" s="316"/>
      <c r="E87" s="271">
        <v>32395</v>
      </c>
      <c r="F87" s="266">
        <v>26145</v>
      </c>
      <c r="G87" s="276">
        <v>21494</v>
      </c>
    </row>
    <row r="88" spans="1:7" s="260" customFormat="1" ht="12.75">
      <c r="A88" s="367">
        <v>57</v>
      </c>
      <c r="B88" s="368"/>
      <c r="C88" s="368" t="s">
        <v>315</v>
      </c>
      <c r="D88" s="316"/>
      <c r="E88" s="275">
        <v>3220</v>
      </c>
      <c r="F88" s="266">
        <v>967</v>
      </c>
      <c r="G88" s="276">
        <v>4990</v>
      </c>
    </row>
    <row r="89" spans="1:7" s="260" customFormat="1" ht="12.75">
      <c r="A89" s="367">
        <v>580</v>
      </c>
      <c r="B89" s="368"/>
      <c r="C89" s="368" t="s">
        <v>316</v>
      </c>
      <c r="D89" s="275"/>
      <c r="E89" s="275">
        <v>0</v>
      </c>
      <c r="F89" s="266">
        <v>0</v>
      </c>
      <c r="G89" s="276">
        <v>0</v>
      </c>
    </row>
    <row r="90" spans="1:7" s="260" customFormat="1" ht="12.75">
      <c r="A90" s="367">
        <v>582</v>
      </c>
      <c r="B90" s="368"/>
      <c r="C90" s="368" t="s">
        <v>317</v>
      </c>
      <c r="D90" s="275"/>
      <c r="E90" s="275">
        <v>0</v>
      </c>
      <c r="F90" s="266">
        <v>0</v>
      </c>
      <c r="G90" s="276">
        <v>0</v>
      </c>
    </row>
    <row r="91" spans="1:7" s="260" customFormat="1" ht="12.75">
      <c r="A91" s="367">
        <v>584</v>
      </c>
      <c r="B91" s="368"/>
      <c r="C91" s="368" t="s">
        <v>318</v>
      </c>
      <c r="D91" s="275"/>
      <c r="E91" s="275">
        <v>0</v>
      </c>
      <c r="F91" s="266">
        <v>0</v>
      </c>
      <c r="G91" s="276">
        <v>0</v>
      </c>
    </row>
    <row r="92" spans="1:7" s="260" customFormat="1" ht="12.75">
      <c r="A92" s="367">
        <v>585</v>
      </c>
      <c r="B92" s="368"/>
      <c r="C92" s="368" t="s">
        <v>319</v>
      </c>
      <c r="D92" s="275"/>
      <c r="E92" s="275">
        <v>0</v>
      </c>
      <c r="F92" s="266">
        <v>0</v>
      </c>
      <c r="G92" s="276">
        <v>0</v>
      </c>
    </row>
    <row r="93" spans="1:7" s="260" customFormat="1" ht="12.75">
      <c r="A93" s="367">
        <v>586</v>
      </c>
      <c r="B93" s="368"/>
      <c r="C93" s="368" t="s">
        <v>320</v>
      </c>
      <c r="D93" s="275"/>
      <c r="E93" s="275">
        <v>0</v>
      </c>
      <c r="F93" s="266">
        <v>0</v>
      </c>
      <c r="G93" s="276">
        <v>0</v>
      </c>
    </row>
    <row r="94" spans="1:7" s="260" customFormat="1" ht="12.75">
      <c r="A94" s="371">
        <v>589</v>
      </c>
      <c r="B94" s="372"/>
      <c r="C94" s="372" t="s">
        <v>321</v>
      </c>
      <c r="D94" s="306"/>
      <c r="E94" s="306"/>
      <c r="F94" s="373">
        <v>1647</v>
      </c>
      <c r="G94" s="308">
        <v>0</v>
      </c>
    </row>
    <row r="95" spans="1:7" ht="12.75">
      <c r="A95" s="374">
        <v>5</v>
      </c>
      <c r="B95" s="375"/>
      <c r="C95" s="375" t="s">
        <v>322</v>
      </c>
      <c r="D95" s="376">
        <f>SUM(D82:D94)</f>
        <v>0</v>
      </c>
      <c r="E95" s="376">
        <f>SUM(E82:E94)</f>
        <v>166665</v>
      </c>
      <c r="F95" s="376">
        <f>SUM(F82:F94)</f>
        <v>157390</v>
      </c>
      <c r="G95" s="376">
        <f>SUM(G82:G94)</f>
        <v>151178</v>
      </c>
    </row>
    <row r="96" spans="1:7" s="260" customFormat="1" ht="12.75">
      <c r="A96" s="367">
        <v>60</v>
      </c>
      <c r="B96" s="368"/>
      <c r="C96" s="368" t="s">
        <v>323</v>
      </c>
      <c r="D96" s="316"/>
      <c r="E96" s="275">
        <v>30</v>
      </c>
      <c r="F96" s="266">
        <v>899</v>
      </c>
      <c r="G96" s="276">
        <v>30</v>
      </c>
    </row>
    <row r="97" spans="1:7" s="260" customFormat="1" ht="12.75">
      <c r="A97" s="367">
        <v>61</v>
      </c>
      <c r="B97" s="368"/>
      <c r="C97" s="368" t="s">
        <v>324</v>
      </c>
      <c r="D97" s="316"/>
      <c r="E97" s="275">
        <v>0</v>
      </c>
      <c r="F97" s="266">
        <v>0</v>
      </c>
      <c r="G97" s="276">
        <v>0</v>
      </c>
    </row>
    <row r="98" spans="1:7" s="260" customFormat="1" ht="12.75">
      <c r="A98" s="367">
        <v>62</v>
      </c>
      <c r="B98" s="368"/>
      <c r="C98" s="368" t="s">
        <v>325</v>
      </c>
      <c r="D98" s="316"/>
      <c r="E98" s="275">
        <v>0</v>
      </c>
      <c r="F98" s="266">
        <v>0</v>
      </c>
      <c r="G98" s="276">
        <v>0</v>
      </c>
    </row>
    <row r="99" spans="1:7" s="260" customFormat="1" ht="12.75">
      <c r="A99" s="367">
        <v>63</v>
      </c>
      <c r="B99" s="368"/>
      <c r="C99" s="368" t="s">
        <v>326</v>
      </c>
      <c r="D99" s="316"/>
      <c r="E99" s="275">
        <v>43484</v>
      </c>
      <c r="F99" s="266">
        <v>45044</v>
      </c>
      <c r="G99" s="276">
        <v>42823</v>
      </c>
    </row>
    <row r="100" spans="1:7" s="260" customFormat="1" ht="12.75">
      <c r="A100" s="367">
        <v>64</v>
      </c>
      <c r="B100" s="368"/>
      <c r="C100" s="368" t="s">
        <v>327</v>
      </c>
      <c r="D100" s="316"/>
      <c r="E100" s="271">
        <v>0</v>
      </c>
      <c r="F100" s="266">
        <v>0</v>
      </c>
      <c r="G100" s="276">
        <v>0</v>
      </c>
    </row>
    <row r="101" spans="1:7" s="260" customFormat="1" ht="12.75">
      <c r="A101" s="367">
        <v>65</v>
      </c>
      <c r="B101" s="368"/>
      <c r="C101" s="368" t="s">
        <v>328</v>
      </c>
      <c r="D101" s="316"/>
      <c r="E101" s="271">
        <v>0</v>
      </c>
      <c r="F101" s="266">
        <v>0</v>
      </c>
      <c r="G101" s="276">
        <v>0</v>
      </c>
    </row>
    <row r="102" spans="1:7" s="260" customFormat="1" ht="12.75">
      <c r="A102" s="367">
        <v>66</v>
      </c>
      <c r="B102" s="368"/>
      <c r="C102" s="368" t="s">
        <v>329</v>
      </c>
      <c r="D102" s="316"/>
      <c r="E102" s="271">
        <v>600</v>
      </c>
      <c r="F102" s="266">
        <v>605</v>
      </c>
      <c r="G102" s="276">
        <v>1000</v>
      </c>
    </row>
    <row r="103" spans="1:7" s="260" customFormat="1" ht="12.75">
      <c r="A103" s="367">
        <v>67</v>
      </c>
      <c r="B103" s="368"/>
      <c r="C103" s="368" t="s">
        <v>315</v>
      </c>
      <c r="D103" s="316"/>
      <c r="E103" s="275">
        <v>3220</v>
      </c>
      <c r="F103" s="286">
        <v>967</v>
      </c>
      <c r="G103" s="267">
        <v>4990</v>
      </c>
    </row>
    <row r="104" spans="1:7" s="260" customFormat="1" ht="25.5">
      <c r="A104" s="377" t="s">
        <v>330</v>
      </c>
      <c r="B104" s="368"/>
      <c r="C104" s="378" t="s">
        <v>331</v>
      </c>
      <c r="D104" s="264"/>
      <c r="E104" s="264">
        <v>18330</v>
      </c>
      <c r="F104" s="286">
        <v>13724</v>
      </c>
      <c r="G104" s="267">
        <v>11220</v>
      </c>
    </row>
    <row r="105" spans="1:7" s="260" customFormat="1" ht="38.25">
      <c r="A105" s="381" t="s">
        <v>332</v>
      </c>
      <c r="B105" s="372"/>
      <c r="C105" s="382" t="s">
        <v>333</v>
      </c>
      <c r="D105" s="304"/>
      <c r="E105" s="304">
        <v>3800</v>
      </c>
      <c r="F105" s="307">
        <v>8323</v>
      </c>
      <c r="G105" s="486">
        <v>1700</v>
      </c>
    </row>
    <row r="106" spans="1:7" ht="12.75">
      <c r="A106" s="374">
        <v>6</v>
      </c>
      <c r="B106" s="375"/>
      <c r="C106" s="375" t="s">
        <v>334</v>
      </c>
      <c r="D106" s="376">
        <f>SUM(D96:D105)</f>
        <v>0</v>
      </c>
      <c r="E106" s="376">
        <f>SUM(E96:E105)</f>
        <v>69464</v>
      </c>
      <c r="F106" s="376">
        <f>SUM(F96:F105)</f>
        <v>69562</v>
      </c>
      <c r="G106" s="376">
        <f>SUM(G96:G105)</f>
        <v>61763</v>
      </c>
    </row>
    <row r="107" spans="1:7" ht="12.75">
      <c r="A107" s="386" t="s">
        <v>335</v>
      </c>
      <c r="B107" s="386"/>
      <c r="C107" s="375" t="s">
        <v>3</v>
      </c>
      <c r="D107" s="376">
        <f>(D95-D88)-(D106-D103)</f>
        <v>0</v>
      </c>
      <c r="E107" s="376">
        <f>(E95-E88)-(E106-E103)</f>
        <v>97201</v>
      </c>
      <c r="F107" s="376">
        <f>(F95-F88)-(F106-F103)</f>
        <v>87828</v>
      </c>
      <c r="G107" s="376">
        <f>(G95-G88)-(G106-G103)</f>
        <v>89415</v>
      </c>
    </row>
    <row r="108" spans="1:7" ht="12.75">
      <c r="A108" s="387" t="s">
        <v>336</v>
      </c>
      <c r="B108" s="387"/>
      <c r="C108" s="388" t="s">
        <v>337</v>
      </c>
      <c r="D108" s="389">
        <f>D107-D85-D86+D100+D101</f>
        <v>0</v>
      </c>
      <c r="E108" s="389">
        <f>E107-E85-E86+E100+E101</f>
        <v>96301</v>
      </c>
      <c r="F108" s="389">
        <f>F107-F85-F86+F100+F101</f>
        <v>87485</v>
      </c>
      <c r="G108" s="389">
        <f>G107-G85-G86+G100+G101</f>
        <v>88515</v>
      </c>
    </row>
    <row r="109" spans="1:7" ht="12.75">
      <c r="A109" s="362"/>
      <c r="B109" s="362"/>
      <c r="C109" s="363"/>
      <c r="D109" s="364"/>
      <c r="E109" s="364"/>
      <c r="F109" s="364"/>
      <c r="G109" s="364"/>
    </row>
    <row r="110" spans="1:7" s="250" customFormat="1" ht="12.75">
      <c r="A110" s="390" t="s">
        <v>338</v>
      </c>
      <c r="B110" s="391"/>
      <c r="C110" s="390"/>
      <c r="D110" s="364"/>
      <c r="E110" s="364"/>
      <c r="F110" s="364"/>
      <c r="G110" s="364"/>
    </row>
    <row r="111" spans="1:7" s="396" customFormat="1" ht="12.75">
      <c r="A111" s="392">
        <v>10</v>
      </c>
      <c r="B111" s="393"/>
      <c r="C111" s="393" t="s">
        <v>339</v>
      </c>
      <c r="D111" s="394">
        <f>D112+D117</f>
        <v>0</v>
      </c>
      <c r="E111" s="493">
        <f>E112+E117</f>
        <v>0</v>
      </c>
      <c r="F111" s="394">
        <f>F112+F117</f>
        <v>543387</v>
      </c>
      <c r="G111" s="395">
        <f>G112+G117</f>
        <v>0</v>
      </c>
    </row>
    <row r="112" spans="1:7" s="396" customFormat="1" ht="12.75">
      <c r="A112" s="397" t="s">
        <v>340</v>
      </c>
      <c r="B112" s="398"/>
      <c r="C112" s="398" t="s">
        <v>341</v>
      </c>
      <c r="D112" s="394">
        <f>D113+D114+D115+D116</f>
        <v>0</v>
      </c>
      <c r="E112" s="493">
        <f>E113+E114+E115+E116</f>
        <v>0</v>
      </c>
      <c r="F112" s="394">
        <f>F113+F114+F115+F116</f>
        <v>459151</v>
      </c>
      <c r="G112" s="395">
        <f>G113+G114+G115+G116</f>
        <v>0</v>
      </c>
    </row>
    <row r="113" spans="1:7" s="396" customFormat="1" ht="12.75">
      <c r="A113" s="410" t="s">
        <v>342</v>
      </c>
      <c r="B113" s="411"/>
      <c r="C113" s="411" t="s">
        <v>343</v>
      </c>
      <c r="D113" s="275"/>
      <c r="E113" s="316"/>
      <c r="F113" s="275">
        <v>416522</v>
      </c>
      <c r="G113" s="277"/>
    </row>
    <row r="114" spans="1:7" s="406" customFormat="1" ht="15" customHeight="1">
      <c r="A114" s="414">
        <v>102</v>
      </c>
      <c r="B114" s="494"/>
      <c r="C114" s="494" t="s">
        <v>344</v>
      </c>
      <c r="D114" s="344"/>
      <c r="E114" s="344"/>
      <c r="F114" s="344">
        <v>0</v>
      </c>
      <c r="G114" s="495"/>
    </row>
    <row r="115" spans="1:7" s="396" customFormat="1" ht="12.75">
      <c r="A115" s="410">
        <v>104</v>
      </c>
      <c r="B115" s="411"/>
      <c r="C115" s="411" t="s">
        <v>345</v>
      </c>
      <c r="D115" s="275"/>
      <c r="E115" s="316"/>
      <c r="F115" s="275">
        <v>39687</v>
      </c>
      <c r="G115" s="277"/>
    </row>
    <row r="116" spans="1:7" s="396" customFormat="1" ht="12.75">
      <c r="A116" s="410">
        <v>106</v>
      </c>
      <c r="B116" s="411"/>
      <c r="C116" s="411" t="s">
        <v>346</v>
      </c>
      <c r="D116" s="275"/>
      <c r="E116" s="316"/>
      <c r="F116" s="275">
        <v>2942</v>
      </c>
      <c r="G116" s="277"/>
    </row>
    <row r="117" spans="1:7" s="396" customFormat="1" ht="12.75">
      <c r="A117" s="397" t="s">
        <v>347</v>
      </c>
      <c r="B117" s="398"/>
      <c r="C117" s="398" t="s">
        <v>348</v>
      </c>
      <c r="D117" s="394">
        <f>D118+D119+D120</f>
        <v>0</v>
      </c>
      <c r="E117" s="493">
        <f>E118+E119+E120</f>
        <v>0</v>
      </c>
      <c r="F117" s="394">
        <f>F118+F119+F120</f>
        <v>84236</v>
      </c>
      <c r="G117" s="395">
        <f>G118+G119+G120</f>
        <v>0</v>
      </c>
    </row>
    <row r="118" spans="1:7" s="396" customFormat="1" ht="12.75">
      <c r="A118" s="410">
        <v>107</v>
      </c>
      <c r="B118" s="411"/>
      <c r="C118" s="411" t="s">
        <v>349</v>
      </c>
      <c r="D118" s="275"/>
      <c r="E118" s="316"/>
      <c r="F118" s="275">
        <v>36751</v>
      </c>
      <c r="G118" s="277"/>
    </row>
    <row r="119" spans="1:7" s="396" customFormat="1" ht="12.75">
      <c r="A119" s="410">
        <v>108</v>
      </c>
      <c r="B119" s="411"/>
      <c r="C119" s="411" t="s">
        <v>350</v>
      </c>
      <c r="D119" s="275"/>
      <c r="E119" s="316"/>
      <c r="F119" s="275">
        <v>47485</v>
      </c>
      <c r="G119" s="277"/>
    </row>
    <row r="120" spans="1:7" s="409" customFormat="1" ht="25.5">
      <c r="A120" s="414">
        <v>109</v>
      </c>
      <c r="B120" s="415"/>
      <c r="C120" s="415" t="s">
        <v>351</v>
      </c>
      <c r="D120" s="281"/>
      <c r="E120" s="281"/>
      <c r="F120" s="281">
        <v>0</v>
      </c>
      <c r="G120" s="496"/>
    </row>
    <row r="121" spans="1:7" s="396" customFormat="1" ht="12.75">
      <c r="A121" s="397">
        <v>14</v>
      </c>
      <c r="B121" s="398"/>
      <c r="C121" s="398" t="s">
        <v>352</v>
      </c>
      <c r="D121" s="394">
        <f>SUM(D122:D130)</f>
        <v>0</v>
      </c>
      <c r="E121" s="394">
        <f>SUM(E122:E130)</f>
        <v>0</v>
      </c>
      <c r="F121" s="394">
        <f>SUM(F122:F130)</f>
        <v>979191</v>
      </c>
      <c r="G121" s="394">
        <f>SUM(G122:G130)</f>
        <v>0</v>
      </c>
    </row>
    <row r="122" spans="1:7" s="396" customFormat="1" ht="12.75">
      <c r="A122" s="410" t="s">
        <v>353</v>
      </c>
      <c r="B122" s="411"/>
      <c r="C122" s="411" t="s">
        <v>354</v>
      </c>
      <c r="D122" s="275"/>
      <c r="E122" s="316"/>
      <c r="F122" s="275">
        <v>279948</v>
      </c>
      <c r="G122" s="277"/>
    </row>
    <row r="123" spans="1:7" s="396" customFormat="1" ht="12.75">
      <c r="A123" s="410">
        <v>144</v>
      </c>
      <c r="B123" s="411"/>
      <c r="C123" s="411" t="s">
        <v>312</v>
      </c>
      <c r="D123" s="275"/>
      <c r="E123" s="316"/>
      <c r="F123" s="275">
        <v>124592</v>
      </c>
      <c r="G123" s="277"/>
    </row>
    <row r="124" spans="1:7" s="396" customFormat="1" ht="12.75">
      <c r="A124" s="410">
        <v>145</v>
      </c>
      <c r="B124" s="411"/>
      <c r="C124" s="411" t="s">
        <v>355</v>
      </c>
      <c r="D124" s="275"/>
      <c r="E124" s="316"/>
      <c r="F124" s="275">
        <v>574651</v>
      </c>
      <c r="G124" s="413"/>
    </row>
    <row r="125" spans="1:7" s="396" customFormat="1" ht="12.75">
      <c r="A125" s="410">
        <v>146</v>
      </c>
      <c r="B125" s="411"/>
      <c r="C125" s="411" t="s">
        <v>356</v>
      </c>
      <c r="D125" s="275"/>
      <c r="E125" s="316"/>
      <c r="F125" s="275">
        <v>0</v>
      </c>
      <c r="G125" s="413"/>
    </row>
    <row r="126" spans="1:7" s="409" customFormat="1" ht="29.25" customHeight="1">
      <c r="A126" s="414" t="s">
        <v>357</v>
      </c>
      <c r="B126" s="415"/>
      <c r="C126" s="415" t="s">
        <v>358</v>
      </c>
      <c r="D126" s="281"/>
      <c r="E126" s="281"/>
      <c r="F126" s="281"/>
      <c r="G126" s="417"/>
    </row>
    <row r="127" spans="1:7" s="396" customFormat="1" ht="12.75">
      <c r="A127" s="410">
        <v>1484</v>
      </c>
      <c r="B127" s="411"/>
      <c r="C127" s="411" t="s">
        <v>359</v>
      </c>
      <c r="D127" s="275"/>
      <c r="E127" s="316"/>
      <c r="F127" s="275"/>
      <c r="G127" s="413"/>
    </row>
    <row r="128" spans="1:7" s="396" customFormat="1" ht="12.75">
      <c r="A128" s="410">
        <v>1485</v>
      </c>
      <c r="B128" s="411"/>
      <c r="C128" s="411" t="s">
        <v>360</v>
      </c>
      <c r="D128" s="275"/>
      <c r="E128" s="316"/>
      <c r="F128" s="275"/>
      <c r="G128" s="413"/>
    </row>
    <row r="129" spans="1:7" s="396" customFormat="1" ht="12.75">
      <c r="A129" s="410">
        <v>1486</v>
      </c>
      <c r="B129" s="411"/>
      <c r="C129" s="411" t="s">
        <v>361</v>
      </c>
      <c r="D129" s="275"/>
      <c r="E129" s="316"/>
      <c r="F129" s="275"/>
      <c r="G129" s="413"/>
    </row>
    <row r="130" spans="1:7" s="396" customFormat="1" ht="12.75">
      <c r="A130" s="418">
        <v>1489</v>
      </c>
      <c r="B130" s="419"/>
      <c r="C130" s="419" t="s">
        <v>362</v>
      </c>
      <c r="D130" s="306"/>
      <c r="E130" s="497"/>
      <c r="F130" s="306"/>
      <c r="G130" s="421"/>
    </row>
    <row r="131" spans="1:7" s="250" customFormat="1" ht="12.75">
      <c r="A131" s="422">
        <v>1</v>
      </c>
      <c r="B131" s="423"/>
      <c r="C131" s="422" t="s">
        <v>363</v>
      </c>
      <c r="D131" s="424">
        <f>D111+D121</f>
        <v>0</v>
      </c>
      <c r="E131" s="424">
        <f>E111+E121</f>
        <v>0</v>
      </c>
      <c r="F131" s="424">
        <f>F111+F121</f>
        <v>1522578</v>
      </c>
      <c r="G131" s="424">
        <f>G111+G121</f>
        <v>0</v>
      </c>
    </row>
    <row r="132" spans="1:7" s="250" customFormat="1" ht="12.75">
      <c r="A132" s="362"/>
      <c r="B132" s="362"/>
      <c r="C132" s="363"/>
      <c r="D132" s="364"/>
      <c r="E132" s="364"/>
      <c r="F132" s="364"/>
      <c r="G132" s="364"/>
    </row>
    <row r="133" spans="1:7" s="396" customFormat="1" ht="12.75">
      <c r="A133" s="392">
        <v>20</v>
      </c>
      <c r="B133" s="393"/>
      <c r="C133" s="393" t="s">
        <v>364</v>
      </c>
      <c r="D133" s="425">
        <f>D134+D140</f>
        <v>0</v>
      </c>
      <c r="E133" s="425">
        <f>E134+E140</f>
        <v>0</v>
      </c>
      <c r="F133" s="425">
        <f>F134+F140</f>
        <v>1101498</v>
      </c>
      <c r="G133" s="426">
        <f>G134+G140</f>
        <v>0</v>
      </c>
    </row>
    <row r="134" spans="1:7" s="396" customFormat="1" ht="12.75">
      <c r="A134" s="427" t="s">
        <v>365</v>
      </c>
      <c r="B134" s="398"/>
      <c r="C134" s="398" t="s">
        <v>366</v>
      </c>
      <c r="D134" s="394">
        <f>D135+D136+D138+D139</f>
        <v>0</v>
      </c>
      <c r="E134" s="394">
        <f>E135+E136+E138+E139</f>
        <v>0</v>
      </c>
      <c r="F134" s="394">
        <f>F135+F136+F138+F139</f>
        <v>396023</v>
      </c>
      <c r="G134" s="395">
        <f>G135+G136+G138+G139</f>
        <v>0</v>
      </c>
    </row>
    <row r="135" spans="1:7" s="429" customFormat="1" ht="12.75">
      <c r="A135" s="428">
        <v>200</v>
      </c>
      <c r="B135" s="411"/>
      <c r="C135" s="411" t="s">
        <v>367</v>
      </c>
      <c r="D135" s="275"/>
      <c r="E135" s="275"/>
      <c r="F135" s="275">
        <v>190401</v>
      </c>
      <c r="G135" s="277"/>
    </row>
    <row r="136" spans="1:7" s="429" customFormat="1" ht="12.75">
      <c r="A136" s="428">
        <v>201</v>
      </c>
      <c r="B136" s="411"/>
      <c r="C136" s="411" t="s">
        <v>368</v>
      </c>
      <c r="D136" s="275"/>
      <c r="E136" s="275"/>
      <c r="F136" s="275">
        <v>112745</v>
      </c>
      <c r="G136" s="277"/>
    </row>
    <row r="137" spans="1:7" s="429" customFormat="1" ht="12.75">
      <c r="A137" s="430" t="s">
        <v>369</v>
      </c>
      <c r="B137" s="400"/>
      <c r="C137" s="400" t="s">
        <v>370</v>
      </c>
      <c r="D137" s="271"/>
      <c r="E137" s="271"/>
      <c r="F137" s="271">
        <v>0</v>
      </c>
      <c r="G137" s="432"/>
    </row>
    <row r="138" spans="1:7" s="429" customFormat="1" ht="12.75">
      <c r="A138" s="428">
        <v>204</v>
      </c>
      <c r="B138" s="411"/>
      <c r="C138" s="411" t="s">
        <v>371</v>
      </c>
      <c r="D138" s="275"/>
      <c r="E138" s="275"/>
      <c r="F138" s="275">
        <v>73617</v>
      </c>
      <c r="G138" s="413"/>
    </row>
    <row r="139" spans="1:7" s="429" customFormat="1" ht="12.75">
      <c r="A139" s="428">
        <v>205</v>
      </c>
      <c r="B139" s="411"/>
      <c r="C139" s="411" t="s">
        <v>372</v>
      </c>
      <c r="D139" s="275"/>
      <c r="E139" s="275"/>
      <c r="F139" s="275">
        <v>19260</v>
      </c>
      <c r="G139" s="413"/>
    </row>
    <row r="140" spans="1:7" s="429" customFormat="1" ht="12.75">
      <c r="A140" s="427" t="s">
        <v>373</v>
      </c>
      <c r="B140" s="398"/>
      <c r="C140" s="398" t="s">
        <v>374</v>
      </c>
      <c r="D140" s="394">
        <f>D141+D143+D144</f>
        <v>0</v>
      </c>
      <c r="E140" s="394">
        <f>E141+E143+E144</f>
        <v>0</v>
      </c>
      <c r="F140" s="394">
        <f>F141+F143+F144</f>
        <v>705475</v>
      </c>
      <c r="G140" s="395">
        <f>G141+G143+G144</f>
        <v>0</v>
      </c>
    </row>
    <row r="141" spans="1:7" s="429" customFormat="1" ht="12.75">
      <c r="A141" s="428">
        <v>206</v>
      </c>
      <c r="B141" s="411"/>
      <c r="C141" s="411" t="s">
        <v>375</v>
      </c>
      <c r="D141" s="275"/>
      <c r="E141" s="275"/>
      <c r="F141" s="275">
        <v>472400</v>
      </c>
      <c r="G141" s="413"/>
    </row>
    <row r="142" spans="1:7" s="429" customFormat="1" ht="12.75">
      <c r="A142" s="430" t="s">
        <v>376</v>
      </c>
      <c r="B142" s="400"/>
      <c r="C142" s="400" t="s">
        <v>377</v>
      </c>
      <c r="D142" s="271"/>
      <c r="E142" s="271"/>
      <c r="F142" s="271"/>
      <c r="G142" s="432"/>
    </row>
    <row r="143" spans="1:7" s="429" customFormat="1" ht="12.75">
      <c r="A143" s="428">
        <v>208</v>
      </c>
      <c r="B143" s="411"/>
      <c r="C143" s="411" t="s">
        <v>378</v>
      </c>
      <c r="D143" s="275"/>
      <c r="E143" s="275"/>
      <c r="F143" s="275">
        <v>73637</v>
      </c>
      <c r="G143" s="413"/>
    </row>
    <row r="144" spans="1:7" s="433" customFormat="1" ht="25.5">
      <c r="A144" s="414">
        <v>209</v>
      </c>
      <c r="B144" s="415"/>
      <c r="C144" s="415" t="s">
        <v>379</v>
      </c>
      <c r="D144" s="281"/>
      <c r="E144" s="281"/>
      <c r="F144" s="281">
        <v>159438</v>
      </c>
      <c r="G144" s="417"/>
    </row>
    <row r="145" spans="1:7" s="396" customFormat="1" ht="12.75">
      <c r="A145" s="427">
        <v>29</v>
      </c>
      <c r="B145" s="398"/>
      <c r="C145" s="398" t="s">
        <v>380</v>
      </c>
      <c r="D145" s="412"/>
      <c r="E145" s="412"/>
      <c r="F145" s="412">
        <v>421080</v>
      </c>
      <c r="G145" s="413"/>
    </row>
    <row r="146" spans="1:7" s="396" customFormat="1" ht="12.75">
      <c r="A146" s="434" t="s">
        <v>381</v>
      </c>
      <c r="B146" s="435"/>
      <c r="C146" s="435" t="s">
        <v>382</v>
      </c>
      <c r="D146" s="306"/>
      <c r="E146" s="306"/>
      <c r="F146" s="332">
        <v>225510</v>
      </c>
      <c r="G146" s="436"/>
    </row>
    <row r="147" spans="1:7" s="250" customFormat="1" ht="12.75">
      <c r="A147" s="422">
        <v>2</v>
      </c>
      <c r="B147" s="423"/>
      <c r="C147" s="422" t="s">
        <v>383</v>
      </c>
      <c r="D147" s="424">
        <f>D133+D145</f>
        <v>0</v>
      </c>
      <c r="E147" s="424">
        <f>E133+E145</f>
        <v>0</v>
      </c>
      <c r="F147" s="424">
        <f>F133+F145</f>
        <v>1522578</v>
      </c>
      <c r="G147" s="424">
        <f>G133+G145</f>
        <v>0</v>
      </c>
    </row>
    <row r="148" spans="4:6" ht="7.5" customHeight="1">
      <c r="D148" s="250"/>
      <c r="F148" s="250"/>
    </row>
    <row r="149" spans="1:7" ht="13.5" customHeight="1">
      <c r="A149" s="437" t="s">
        <v>384</v>
      </c>
      <c r="B149" s="438"/>
      <c r="C149" s="439" t="s">
        <v>385</v>
      </c>
      <c r="D149" s="438"/>
      <c r="E149" s="438"/>
      <c r="F149" s="438"/>
      <c r="G149" s="438"/>
    </row>
    <row r="150" spans="1:7" ht="12.75">
      <c r="A150" s="509" t="s">
        <v>386</v>
      </c>
      <c r="B150" s="441"/>
      <c r="C150" s="441" t="s">
        <v>97</v>
      </c>
      <c r="D150" s="442">
        <f>D77+SUM(D8:D12)-D30-D31+D16-D33+D59+D63-D73+D64-D74-D54+D20-D35</f>
        <v>0</v>
      </c>
      <c r="E150" s="442">
        <f>E77+SUM(E8:E12)-E30-E31+E16-E33+E59+E63-E73+E64-E74-E54+E20-E35</f>
        <v>-5658.5</v>
      </c>
      <c r="F150" s="442">
        <f>F77+SUM(F8:F12)-F30-F31+F16-F33+F59+F63-F73+F64-F74-F54+F20-F35</f>
        <v>-6207</v>
      </c>
      <c r="G150" s="442">
        <f>G77+SUM(G8:G12)-G30-G31+G16-G33+G59+G63-G73+G64-G74-G54+G20-G35</f>
        <v>16072</v>
      </c>
    </row>
    <row r="151" spans="1:7" ht="12.75">
      <c r="A151" s="510" t="s">
        <v>387</v>
      </c>
      <c r="B151" s="444"/>
      <c r="C151" s="444" t="s">
        <v>388</v>
      </c>
      <c r="D151" s="445">
        <f>IF(D177=0,0,D150/D177)</f>
        <v>0</v>
      </c>
      <c r="E151" s="445">
        <f>IF(E177=0,0,E150/E177)</f>
        <v>-0.003989507493061458</v>
      </c>
      <c r="F151" s="445">
        <f>IF(F177=0,0,F150/F177)</f>
        <v>-0.004219498201257896</v>
      </c>
      <c r="G151" s="445">
        <f>IF(G177=0,0,G150/G177)</f>
        <v>0.010944769500648297</v>
      </c>
    </row>
    <row r="152" spans="1:7" s="449" customFormat="1" ht="25.5">
      <c r="A152" s="511" t="s">
        <v>389</v>
      </c>
      <c r="B152" s="447"/>
      <c r="C152" s="447" t="s">
        <v>390</v>
      </c>
      <c r="D152" s="591">
        <f>IF(IF(D107=0,0,D$150/D107)&lt;0,"negativ",(IF(D107=0,0,D$150/D107)))</f>
        <v>0</v>
      </c>
      <c r="E152" s="591" t="str">
        <f>IF(IF(E107=0,0,E$150/E107)&lt;0,"negativ",(IF(E107=0,0,E$150/E107)))</f>
        <v>negativ</v>
      </c>
      <c r="F152" s="591" t="str">
        <f>IF(IF(F107=0,0,F$150/F107)&lt;0,"negativ",(IF(F107=0,0,F$150/F107)))</f>
        <v>negativ</v>
      </c>
      <c r="G152" s="591">
        <f>IF(IF(G107=0,0,G$150/G107)&lt;0,"negativ",(IF(G107=0,0,G$150/G107)))</f>
        <v>0.17974612760722475</v>
      </c>
    </row>
    <row r="153" spans="1:7" s="449" customFormat="1" ht="25.5">
      <c r="A153" s="512" t="s">
        <v>389</v>
      </c>
      <c r="B153" s="451"/>
      <c r="C153" s="451" t="s">
        <v>391</v>
      </c>
      <c r="D153" s="592">
        <f>IF(IF(D108=0,0,D$150/D108)&lt;0,"negativ",(IF(D108=0,0,D$150/D108)))</f>
        <v>0</v>
      </c>
      <c r="E153" s="592" t="str">
        <f>IF(IF(E108=0,0,E$150/E108)&lt;0,"negativ",(IF(E108=0,0,E$150/E108)))</f>
        <v>negativ</v>
      </c>
      <c r="F153" s="592" t="str">
        <f>IF(IF(F108=0,0,F$150/F108)&lt;0,"negativ",(IF(F108=0,0,F$150/F108)))</f>
        <v>negativ</v>
      </c>
      <c r="G153" s="592">
        <f>IF(IF(G108=0,0,G$150/G108)&lt;0,"negativ",(IF(G108=0,0,G$150/G108)))</f>
        <v>0.1815737445630684</v>
      </c>
    </row>
    <row r="154" spans="1:7" ht="25.5">
      <c r="A154" s="513" t="s">
        <v>392</v>
      </c>
      <c r="B154" s="454"/>
      <c r="C154" s="454" t="s">
        <v>393</v>
      </c>
      <c r="D154" s="455">
        <f>D150-D107</f>
        <v>0</v>
      </c>
      <c r="E154" s="455">
        <f>E150-E107</f>
        <v>-102859.5</v>
      </c>
      <c r="F154" s="455">
        <f>F150-F107</f>
        <v>-94035</v>
      </c>
      <c r="G154" s="455">
        <f>G150-G107</f>
        <v>-73343</v>
      </c>
    </row>
    <row r="155" spans="1:7" ht="25.5">
      <c r="A155" s="512" t="s">
        <v>394</v>
      </c>
      <c r="B155" s="451"/>
      <c r="C155" s="451" t="s">
        <v>395</v>
      </c>
      <c r="D155" s="456">
        <f>D150-D108</f>
        <v>0</v>
      </c>
      <c r="E155" s="456">
        <f>E150-E108</f>
        <v>-101959.5</v>
      </c>
      <c r="F155" s="456">
        <f>F150-F108</f>
        <v>-93692</v>
      </c>
      <c r="G155" s="456">
        <f>G150-G108</f>
        <v>-72443</v>
      </c>
    </row>
    <row r="156" spans="1:7" ht="12.75">
      <c r="A156" s="509" t="s">
        <v>396</v>
      </c>
      <c r="B156" s="441"/>
      <c r="C156" s="441" t="s">
        <v>397</v>
      </c>
      <c r="D156" s="457">
        <f>D135+D136-D137+D141-D142</f>
        <v>0</v>
      </c>
      <c r="E156" s="457">
        <f>E135+E136-E137+E141-E142</f>
        <v>0</v>
      </c>
      <c r="F156" s="457">
        <f>F135+F136-F137+F141-F142</f>
        <v>775546</v>
      </c>
      <c r="G156" s="457">
        <f>G135+G136-G137+G141-G142</f>
        <v>0</v>
      </c>
    </row>
    <row r="157" spans="1:7" ht="12.75">
      <c r="A157" s="514" t="s">
        <v>398</v>
      </c>
      <c r="B157" s="459"/>
      <c r="C157" s="459" t="s">
        <v>399</v>
      </c>
      <c r="D157" s="460">
        <f>IF(D177=0,0,D156/D177)</f>
        <v>0</v>
      </c>
      <c r="E157" s="460">
        <f>IF(E177=0,0,E156/E177)</f>
        <v>0</v>
      </c>
      <c r="F157" s="460">
        <f>IF(F177=0,0,F156/F177)</f>
        <v>0.5272136220384657</v>
      </c>
      <c r="G157" s="460">
        <f>IF(G177=0,0,G156/G177)</f>
        <v>0</v>
      </c>
    </row>
    <row r="158" spans="1:7" ht="12.75">
      <c r="A158" s="509" t="s">
        <v>400</v>
      </c>
      <c r="B158" s="441"/>
      <c r="C158" s="441" t="s">
        <v>401</v>
      </c>
      <c r="D158" s="457">
        <f>D133-D142-D111</f>
        <v>0</v>
      </c>
      <c r="E158" s="457">
        <f>E133-E142-E111</f>
        <v>0</v>
      </c>
      <c r="F158" s="457">
        <f>F133-F142-F111</f>
        <v>558111</v>
      </c>
      <c r="G158" s="457">
        <f>G133-G142-G111</f>
        <v>0</v>
      </c>
    </row>
    <row r="159" spans="1:7" ht="12.75">
      <c r="A159" s="510" t="s">
        <v>402</v>
      </c>
      <c r="B159" s="444"/>
      <c r="C159" s="444" t="s">
        <v>403</v>
      </c>
      <c r="D159" s="461">
        <f>D121-D123-D124-D142-D145</f>
        <v>0</v>
      </c>
      <c r="E159" s="461">
        <f>E121-E123-E124-E142-E145</f>
        <v>0</v>
      </c>
      <c r="F159" s="461">
        <f>F121-F123-F124-F142-F145</f>
        <v>-141132</v>
      </c>
      <c r="G159" s="461">
        <f>G121-G123-G124-G142-G145</f>
        <v>0</v>
      </c>
    </row>
    <row r="160" spans="1:7" ht="12.75">
      <c r="A160" s="510" t="s">
        <v>404</v>
      </c>
      <c r="B160" s="444"/>
      <c r="C160" s="444" t="s">
        <v>405</v>
      </c>
      <c r="D160" s="462" t="str">
        <f>IF(D175=0,"-",1000*D158/D175)</f>
        <v>-</v>
      </c>
      <c r="E160" s="462">
        <f>IF(E175=0,"-",1000*E158/E175)</f>
        <v>0</v>
      </c>
      <c r="F160" s="462">
        <f>IF(F175=0,"-",1000*F158/F175)</f>
        <v>2200.7531545741326</v>
      </c>
      <c r="G160" s="462">
        <f>IF(G175=0,"-",1000*G158/G175)</f>
        <v>0</v>
      </c>
    </row>
    <row r="161" spans="1:7" ht="12.75">
      <c r="A161" s="510" t="s">
        <v>404</v>
      </c>
      <c r="B161" s="444"/>
      <c r="C161" s="444" t="s">
        <v>406</v>
      </c>
      <c r="D161" s="461">
        <f>IF(D175=0,0,1000*(D159/D175))</f>
        <v>0</v>
      </c>
      <c r="E161" s="461">
        <f>IF(E175=0,0,1000*(E159/E175))</f>
        <v>0</v>
      </c>
      <c r="F161" s="461">
        <f>IF(F175=0,0,1000*(F159/F175))</f>
        <v>-556.5141955835961</v>
      </c>
      <c r="G161" s="461">
        <f>IF(G175=0,0,1000*(G159/G175))</f>
        <v>0</v>
      </c>
    </row>
    <row r="162" spans="1:7" ht="12.75">
      <c r="A162" s="514" t="s">
        <v>407</v>
      </c>
      <c r="B162" s="459"/>
      <c r="C162" s="459" t="s">
        <v>408</v>
      </c>
      <c r="D162" s="460">
        <f>IF((D22+D23+D65+D66)=0,0,D158/(D22+D23+D65+D66))</f>
        <v>0</v>
      </c>
      <c r="E162" s="460">
        <f>IF((E22+E23+E65+E66)=0,0,E158/(E22+E23+E65+E66))</f>
        <v>0</v>
      </c>
      <c r="F162" s="460">
        <f>IF((F22+F23+F65+F66)=0,0,F158/(F22+F23+F65+F66))</f>
        <v>0.7514774096689714</v>
      </c>
      <c r="G162" s="460">
        <f>IF((G22+G23+G65+G66)=0,0,G158/(G22+G23+G65+G66))</f>
        <v>0</v>
      </c>
    </row>
    <row r="163" spans="1:7" ht="12.75">
      <c r="A163" s="510" t="s">
        <v>409</v>
      </c>
      <c r="B163" s="444"/>
      <c r="C163" s="444" t="s">
        <v>380</v>
      </c>
      <c r="D163" s="442">
        <f>D145</f>
        <v>0</v>
      </c>
      <c r="E163" s="442">
        <f>E145</f>
        <v>0</v>
      </c>
      <c r="F163" s="442">
        <f>F145</f>
        <v>421080</v>
      </c>
      <c r="G163" s="442">
        <f>G145</f>
        <v>0</v>
      </c>
    </row>
    <row r="164" spans="1:7" ht="25.5">
      <c r="A164" s="512" t="s">
        <v>411</v>
      </c>
      <c r="B164" s="463"/>
      <c r="C164" s="463" t="s">
        <v>412</v>
      </c>
      <c r="D164" s="452">
        <f>IF(D178=0,0,D146/D178)</f>
        <v>0</v>
      </c>
      <c r="E164" s="452">
        <f>IF(E178=0,0,E146/E178)</f>
        <v>0</v>
      </c>
      <c r="F164" s="452">
        <f>IF(F178=0,0,F146/F178)</f>
        <v>0.1479669067495507</v>
      </c>
      <c r="G164" s="452">
        <f>IF(G178=0,0,G146/G178)</f>
        <v>0</v>
      </c>
    </row>
    <row r="165" spans="1:7" ht="12.75">
      <c r="A165" s="515" t="s">
        <v>681</v>
      </c>
      <c r="B165" s="464"/>
      <c r="C165" s="464" t="s">
        <v>414</v>
      </c>
      <c r="D165" s="465">
        <f>IF(D177=0,0,D180/D177)</f>
        <v>0</v>
      </c>
      <c r="E165" s="465">
        <f>IF(E177=0,0,E180/E177)</f>
        <v>0.05085439337594402</v>
      </c>
      <c r="F165" s="465">
        <f>IF(F177=0,0,F180/F177)</f>
        <v>0.04325614468249415</v>
      </c>
      <c r="G165" s="465">
        <f>IF(G177=0,0,G180/G177)</f>
        <v>0.0324563625666002</v>
      </c>
    </row>
    <row r="166" spans="1:7" ht="12.75">
      <c r="A166" s="510" t="s">
        <v>415</v>
      </c>
      <c r="B166" s="444"/>
      <c r="C166" s="444" t="s">
        <v>282</v>
      </c>
      <c r="D166" s="442">
        <f>D55</f>
        <v>0</v>
      </c>
      <c r="E166" s="442">
        <f>E55</f>
        <v>55661.5</v>
      </c>
      <c r="F166" s="442">
        <f>F55</f>
        <v>53483</v>
      </c>
      <c r="G166" s="442">
        <f>G55</f>
        <v>61504</v>
      </c>
    </row>
    <row r="167" spans="1:7" ht="12.75">
      <c r="A167" s="514" t="s">
        <v>416</v>
      </c>
      <c r="B167" s="459"/>
      <c r="C167" s="459" t="s">
        <v>417</v>
      </c>
      <c r="D167" s="460">
        <f>IF(0=D111,0,(D44+D45+D46+D47+D48)/D111)</f>
        <v>0</v>
      </c>
      <c r="E167" s="460">
        <f>IF(0=E111,0,(E44+E45+E46+E47+E48)/E111)</f>
        <v>0</v>
      </c>
      <c r="F167" s="460">
        <f>IF(0=F111,0,(F44+F45+F46+F47+F48)/F111)</f>
        <v>0.12312771560600456</v>
      </c>
      <c r="G167" s="460">
        <f>IF(0=G111,0,(G44+G45+G46+G47+G48)/G111)</f>
        <v>0</v>
      </c>
    </row>
    <row r="168" spans="1:7" ht="12.75">
      <c r="A168" s="510" t="s">
        <v>418</v>
      </c>
      <c r="B168" s="441"/>
      <c r="C168" s="441" t="s">
        <v>419</v>
      </c>
      <c r="D168" s="442">
        <f>D38-D44</f>
        <v>0</v>
      </c>
      <c r="E168" s="442">
        <f>E38-E44</f>
        <v>-1888.8999999999996</v>
      </c>
      <c r="F168" s="442">
        <f>F38-F44</f>
        <v>-2285</v>
      </c>
      <c r="G168" s="442">
        <f>G38-G44</f>
        <v>-2140</v>
      </c>
    </row>
    <row r="169" spans="1:7" ht="12.75">
      <c r="A169" s="514" t="s">
        <v>420</v>
      </c>
      <c r="B169" s="459"/>
      <c r="C169" s="459" t="s">
        <v>421</v>
      </c>
      <c r="D169" s="445">
        <f>IF(D177=0,0,D168/D177)</f>
        <v>0</v>
      </c>
      <c r="E169" s="445">
        <f>IF(E177=0,0,E168/E177)</f>
        <v>-0.0013317629590251455</v>
      </c>
      <c r="F169" s="445">
        <f>IF(F177=0,0,F168/F177)</f>
        <v>-0.0015533354905549045</v>
      </c>
      <c r="G169" s="445">
        <f>IF(G177=0,0,G168/G177)</f>
        <v>-0.0014573050479957288</v>
      </c>
    </row>
    <row r="170" spans="1:7" ht="12.75">
      <c r="A170" s="510" t="s">
        <v>422</v>
      </c>
      <c r="B170" s="444"/>
      <c r="C170" s="444" t="s">
        <v>423</v>
      </c>
      <c r="D170" s="442">
        <f>SUM(D82:D87)+SUM(D89:D94)</f>
        <v>0</v>
      </c>
      <c r="E170" s="442">
        <f>SUM(E82:E87)+SUM(E89:E94)</f>
        <v>163445</v>
      </c>
      <c r="F170" s="442">
        <f>SUM(F82:F87)+SUM(F89:F94)</f>
        <v>156423</v>
      </c>
      <c r="G170" s="442">
        <f>SUM(G82:G87)+SUM(G89:G94)</f>
        <v>146188</v>
      </c>
    </row>
    <row r="171" spans="1:7" ht="12.75">
      <c r="A171" s="510" t="s">
        <v>424</v>
      </c>
      <c r="B171" s="444"/>
      <c r="C171" s="444" t="s">
        <v>425</v>
      </c>
      <c r="D171" s="461">
        <f>SUM(D96:D102)+SUM(D104:D105)</f>
        <v>0</v>
      </c>
      <c r="E171" s="461">
        <f>SUM(E96:E102)+SUM(E104:E105)</f>
        <v>66244</v>
      </c>
      <c r="F171" s="461">
        <f>SUM(F96:F102)+SUM(F104:F105)</f>
        <v>68595</v>
      </c>
      <c r="G171" s="461">
        <f>SUM(G96:G102)+SUM(G104:G105)</f>
        <v>56773</v>
      </c>
    </row>
    <row r="172" spans="1:7" ht="12.75">
      <c r="A172" s="515" t="s">
        <v>413</v>
      </c>
      <c r="B172" s="464"/>
      <c r="C172" s="464" t="s">
        <v>426</v>
      </c>
      <c r="D172" s="465">
        <f>IF(D184=0,0,D170/D184)</f>
        <v>0</v>
      </c>
      <c r="E172" s="465">
        <f>IF(E184=0,0,E170/E184)</f>
        <v>0.10470840268194963</v>
      </c>
      <c r="F172" s="465">
        <f>IF(F184=0,0,F170/F184)</f>
        <v>0.09762568551052161</v>
      </c>
      <c r="G172" s="465">
        <f>IF(G184=0,0,G170/G184)</f>
        <v>0.09257584623295566</v>
      </c>
    </row>
    <row r="174" spans="1:7" ht="12.75">
      <c r="A174" s="467" t="s">
        <v>427</v>
      </c>
      <c r="B174" s="468"/>
      <c r="C174" s="467"/>
      <c r="D174" s="364"/>
      <c r="E174" s="364"/>
      <c r="F174" s="364"/>
      <c r="G174" s="364"/>
    </row>
    <row r="175" spans="1:7" s="260" customFormat="1" ht="12.75">
      <c r="A175" s="468" t="s">
        <v>428</v>
      </c>
      <c r="B175" s="468"/>
      <c r="C175" s="468" t="s">
        <v>429</v>
      </c>
      <c r="D175" s="471"/>
      <c r="E175" s="471">
        <v>251900</v>
      </c>
      <c r="F175" s="471">
        <v>253600</v>
      </c>
      <c r="G175" s="471">
        <v>256400</v>
      </c>
    </row>
    <row r="176" spans="1:7" ht="12.75">
      <c r="A176" s="467" t="s">
        <v>430</v>
      </c>
      <c r="B176" s="468"/>
      <c r="C176" s="468"/>
      <c r="D176" s="468"/>
      <c r="E176" s="468"/>
      <c r="F176" s="468"/>
      <c r="G176" s="468"/>
    </row>
    <row r="177" spans="1:7" ht="12.75">
      <c r="A177" s="468" t="s">
        <v>431</v>
      </c>
      <c r="B177" s="468"/>
      <c r="C177" s="468" t="s">
        <v>432</v>
      </c>
      <c r="D177" s="472">
        <f>SUM(D22:D32)+SUM(D44:D53)+SUM(D65:D72)+D75</f>
        <v>0</v>
      </c>
      <c r="E177" s="472">
        <f>SUM(E22:E32)+SUM(E44:E53)+SUM(E65:E72)+E75</f>
        <v>1418345.5</v>
      </c>
      <c r="F177" s="472">
        <f>SUM(F22:F32)+SUM(F44:F53)+SUM(F65:F72)+F75</f>
        <v>1471028</v>
      </c>
      <c r="G177" s="472">
        <f>SUM(G22:G32)+SUM(G44:G53)+SUM(G65:G72)+G75</f>
        <v>1468464</v>
      </c>
    </row>
    <row r="178" spans="1:8" ht="12.75">
      <c r="A178" s="468" t="s">
        <v>433</v>
      </c>
      <c r="B178" s="468"/>
      <c r="C178" s="468" t="s">
        <v>434</v>
      </c>
      <c r="D178" s="472">
        <f>D78-D17-D20-D59-D63-D64</f>
        <v>0</v>
      </c>
      <c r="E178" s="472">
        <f>E78-E17-E20-E59-E63-E64</f>
        <v>1474885.5</v>
      </c>
      <c r="F178" s="472">
        <f>F78-F17-F20-F59-F63-F64</f>
        <v>1524057</v>
      </c>
      <c r="G178" s="472">
        <f>G78-G17-G20-G59-G63-G64</f>
        <v>1506476</v>
      </c>
      <c r="H178" s="252">
        <f>H78-H17-H20-H59-H63-H64</f>
        <v>0</v>
      </c>
    </row>
    <row r="179" spans="1:7" ht="12.75">
      <c r="A179" s="468"/>
      <c r="B179" s="468"/>
      <c r="C179" s="468" t="s">
        <v>435</v>
      </c>
      <c r="D179" s="472">
        <f>D178+D170</f>
        <v>0</v>
      </c>
      <c r="E179" s="472">
        <f>E178+E170</f>
        <v>1638330.5</v>
      </c>
      <c r="F179" s="472">
        <f>F178+F170</f>
        <v>1680480</v>
      </c>
      <c r="G179" s="472">
        <f>G178+G170</f>
        <v>1652664</v>
      </c>
    </row>
    <row r="180" spans="1:7" ht="12.75">
      <c r="A180" s="468" t="s">
        <v>436</v>
      </c>
      <c r="B180" s="468"/>
      <c r="C180" s="468" t="s">
        <v>437</v>
      </c>
      <c r="D180" s="472">
        <f>D38-D44+D8+D9+D10+D16-D33</f>
        <v>0</v>
      </c>
      <c r="E180" s="472">
        <f>E38-E44+E8+E9+E10+E16-E33</f>
        <v>72129.1</v>
      </c>
      <c r="F180" s="472">
        <f>F38-F44+F8+F9+F10+F16-F33</f>
        <v>63631</v>
      </c>
      <c r="G180" s="472">
        <f>G38-G44+G8+G9+G10+G16-G33</f>
        <v>47661</v>
      </c>
    </row>
    <row r="181" spans="1:7" ht="27" customHeight="1">
      <c r="A181" s="473" t="s">
        <v>438</v>
      </c>
      <c r="B181" s="474"/>
      <c r="C181" s="474" t="s">
        <v>439</v>
      </c>
      <c r="D181" s="475">
        <f>D22+D23+D24+D25+D26+D29+SUM(D44:D47)+SUM(D49:D53)-D54+D32-D33+SUM(D65:D70)+D72</f>
        <v>0</v>
      </c>
      <c r="E181" s="475">
        <f>E22+E23+E24+E25+E26+E29+SUM(E44:E47)+SUM(E49:E53)-E54+E32-E33+SUM(E65:E70)+E72</f>
        <v>1390650.5</v>
      </c>
      <c r="F181" s="475">
        <f>F22+F23+F24+F25+F26+F29+SUM(F44:F47)+SUM(F49:F53)-F54+F32-F33+SUM(F65:F70)+F72</f>
        <v>1438592</v>
      </c>
      <c r="G181" s="475">
        <f>G22+G23+G24+G25+G26+G29+SUM(G44:G47)+SUM(G49:G53)-G54+G32-G33+SUM(G65:G70)+G72</f>
        <v>1448000</v>
      </c>
    </row>
    <row r="182" spans="1:7" ht="12.75">
      <c r="A182" s="474" t="s">
        <v>440</v>
      </c>
      <c r="B182" s="474"/>
      <c r="C182" s="474" t="s">
        <v>441</v>
      </c>
      <c r="D182" s="475">
        <f>D181+D171</f>
        <v>0</v>
      </c>
      <c r="E182" s="475">
        <f>E181+E171</f>
        <v>1456894.5</v>
      </c>
      <c r="F182" s="475">
        <f>F181+F171</f>
        <v>1507187</v>
      </c>
      <c r="G182" s="475">
        <f>G181+G171</f>
        <v>1504773</v>
      </c>
    </row>
    <row r="183" spans="1:7" ht="12.75">
      <c r="A183" s="474" t="s">
        <v>442</v>
      </c>
      <c r="B183" s="474"/>
      <c r="C183" s="474" t="s">
        <v>443</v>
      </c>
      <c r="D183" s="475">
        <f>D4+D5-D7+D38+D39+D40+D41+D43+D13-D16+D57+D58+D60+D61+D62</f>
        <v>0</v>
      </c>
      <c r="E183" s="475">
        <f>E4+E5-E7+E38+E39+E40+E41+E43+E13-E16+E57+E58+E60+E61+E62</f>
        <v>1397509</v>
      </c>
      <c r="F183" s="475">
        <f>F4+F5-F7+F38+F39+F40+F41+F43+F13-F16+F57+F58+F60+F61+F62</f>
        <v>1445850</v>
      </c>
      <c r="G183" s="475">
        <f>G4+G5-G7+G38+G39+G40+G41+G43+G13-G16+G57+G58+G60+G61+G62</f>
        <v>1432928</v>
      </c>
    </row>
    <row r="184" spans="1:7" ht="12.75">
      <c r="A184" s="474" t="s">
        <v>444</v>
      </c>
      <c r="B184" s="474"/>
      <c r="C184" s="474" t="s">
        <v>445</v>
      </c>
      <c r="D184" s="475">
        <f>D183+D170</f>
        <v>0</v>
      </c>
      <c r="E184" s="475">
        <f>E183+E170</f>
        <v>1560954</v>
      </c>
      <c r="F184" s="475">
        <f>F183+F170</f>
        <v>1602273</v>
      </c>
      <c r="G184" s="475">
        <f>G183+G170</f>
        <v>1579116</v>
      </c>
    </row>
    <row r="185" spans="1:7" ht="12.75">
      <c r="A185" s="474"/>
      <c r="B185" s="474"/>
      <c r="C185" s="474" t="s">
        <v>446</v>
      </c>
      <c r="D185" s="475">
        <f aca="true" t="shared" si="0" ref="D185:G186">D181-D183</f>
        <v>0</v>
      </c>
      <c r="E185" s="475">
        <f t="shared" si="0"/>
        <v>-6858.5</v>
      </c>
      <c r="F185" s="475">
        <f t="shared" si="0"/>
        <v>-7258</v>
      </c>
      <c r="G185" s="475">
        <f t="shared" si="0"/>
        <v>15072</v>
      </c>
    </row>
    <row r="186" spans="1:7" ht="12.75">
      <c r="A186" s="474"/>
      <c r="B186" s="474"/>
      <c r="C186" s="474" t="s">
        <v>447</v>
      </c>
      <c r="D186" s="475">
        <f t="shared" si="0"/>
        <v>0</v>
      </c>
      <c r="E186" s="475">
        <f t="shared" si="0"/>
        <v>-104059.5</v>
      </c>
      <c r="F186" s="475">
        <f t="shared" si="0"/>
        <v>-95086</v>
      </c>
      <c r="G186" s="475">
        <f t="shared" si="0"/>
        <v>-74343</v>
      </c>
    </row>
  </sheetData>
  <sheetProtection selectLockedCells="1"/>
  <mergeCells count="2">
    <mergeCell ref="A3:C3"/>
    <mergeCell ref="A81:C8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&amp;LFachgruppe für kantonale Finanzfragen (FkF)
Groupe d'études pour les finances cantonales
&amp;CRechnung 2011 - Budget 2013
Compte 2011 - Budget 2013&amp;RZürich, 12.9.2013</oddHeader>
    <oddFooter>&amp;LQuelle/Source: FkF Sept. 2013</oddFooter>
  </headerFooter>
  <rowBreaks count="2" manualBreakCount="2">
    <brk id="79" max="6" man="1"/>
    <brk id="14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3" width="12.28125" style="0" bestFit="1" customWidth="1"/>
    <col min="4" max="4" width="11.57421875" style="0" bestFit="1" customWidth="1"/>
    <col min="5" max="5" width="12.28125" style="0" bestFit="1" customWidth="1"/>
    <col min="6" max="6" width="11.57421875" style="0" bestFit="1" customWidth="1"/>
    <col min="7" max="7" width="12.28125" style="0" bestFit="1" customWidth="1"/>
    <col min="8" max="8" width="11.57421875" style="0" bestFit="1" customWidth="1"/>
    <col min="9" max="9" width="12.28125" style="0" bestFit="1" customWidth="1"/>
  </cols>
  <sheetData>
    <row r="1" spans="1:9" ht="12.75">
      <c r="A1" s="5" t="s">
        <v>20</v>
      </c>
      <c r="B1" s="6" t="s">
        <v>104</v>
      </c>
      <c r="C1" s="57" t="s">
        <v>22</v>
      </c>
      <c r="D1" s="7" t="s">
        <v>23</v>
      </c>
      <c r="E1" s="57" t="s">
        <v>105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 t="s">
        <v>27</v>
      </c>
      <c r="F3" s="134">
        <v>0</v>
      </c>
      <c r="G3" s="135" t="s">
        <v>27</v>
      </c>
      <c r="H3" s="134">
        <v>0</v>
      </c>
      <c r="I3" s="115" t="s">
        <v>27</v>
      </c>
    </row>
    <row r="4" spans="1:9" ht="12.75">
      <c r="A4" s="5" t="s">
        <v>28</v>
      </c>
      <c r="B4" s="9" t="s">
        <v>29</v>
      </c>
      <c r="C4" s="10">
        <v>610426.22003</v>
      </c>
      <c r="D4" s="11"/>
      <c r="E4" s="10"/>
      <c r="F4" s="11"/>
      <c r="G4" s="10"/>
      <c r="H4" s="11"/>
      <c r="I4" s="12"/>
    </row>
    <row r="5" spans="1:9" ht="12.75">
      <c r="A5" s="13" t="s">
        <v>30</v>
      </c>
      <c r="B5" s="14" t="s">
        <v>31</v>
      </c>
      <c r="C5" s="15">
        <v>208071.25977</v>
      </c>
      <c r="D5" s="16"/>
      <c r="E5" s="15"/>
      <c r="F5" s="16"/>
      <c r="G5" s="15"/>
      <c r="H5" s="16"/>
      <c r="I5" s="17"/>
    </row>
    <row r="6" spans="1:9" ht="12.75">
      <c r="A6" s="13" t="s">
        <v>32</v>
      </c>
      <c r="B6" s="14" t="s">
        <v>33</v>
      </c>
      <c r="C6" s="15">
        <v>31500</v>
      </c>
      <c r="D6" s="16"/>
      <c r="E6" s="15"/>
      <c r="F6" s="16"/>
      <c r="G6" s="15"/>
      <c r="H6" s="16"/>
      <c r="I6" s="17"/>
    </row>
    <row r="7" spans="1:9" ht="12.75">
      <c r="A7" s="13" t="s">
        <v>34</v>
      </c>
      <c r="B7" s="14" t="s">
        <v>35</v>
      </c>
      <c r="C7" s="15">
        <v>33390.02383</v>
      </c>
      <c r="D7" s="16"/>
      <c r="E7" s="15"/>
      <c r="F7" s="16"/>
      <c r="G7" s="15"/>
      <c r="H7" s="16"/>
      <c r="I7" s="17"/>
    </row>
    <row r="8" spans="1:9" ht="12.75">
      <c r="A8" s="13" t="s">
        <v>36</v>
      </c>
      <c r="B8" s="14" t="s">
        <v>37</v>
      </c>
      <c r="C8" s="15">
        <v>16217</v>
      </c>
      <c r="D8" s="16"/>
      <c r="E8" s="15"/>
      <c r="F8" s="16"/>
      <c r="G8" s="15"/>
      <c r="H8" s="16"/>
      <c r="I8" s="17"/>
    </row>
    <row r="9" spans="1:9" ht="12.75">
      <c r="A9" s="13" t="s">
        <v>38</v>
      </c>
      <c r="B9" s="14" t="s">
        <v>39</v>
      </c>
      <c r="C9" s="15">
        <v>155312</v>
      </c>
      <c r="D9" s="16"/>
      <c r="E9" s="15"/>
      <c r="F9" s="16"/>
      <c r="G9" s="15"/>
      <c r="H9" s="16"/>
      <c r="I9" s="17"/>
    </row>
    <row r="10" spans="1:9" ht="12.75">
      <c r="A10" s="13" t="s">
        <v>40</v>
      </c>
      <c r="B10" s="14" t="s">
        <v>41</v>
      </c>
      <c r="C10" s="15">
        <v>1987792.84345</v>
      </c>
      <c r="D10" s="16"/>
      <c r="E10" s="15"/>
      <c r="F10" s="16"/>
      <c r="G10" s="15"/>
      <c r="H10" s="16"/>
      <c r="I10" s="17"/>
    </row>
    <row r="11" spans="1:9" ht="12.75">
      <c r="A11" s="13" t="s">
        <v>42</v>
      </c>
      <c r="B11" s="14" t="s">
        <v>43</v>
      </c>
      <c r="C11" s="15">
        <v>283608.70745</v>
      </c>
      <c r="D11" s="43"/>
      <c r="E11" s="15"/>
      <c r="F11" s="16"/>
      <c r="G11" s="15"/>
      <c r="H11" s="16"/>
      <c r="I11" s="17"/>
    </row>
    <row r="12" spans="1:9" ht="12.75">
      <c r="A12" s="13" t="s">
        <v>44</v>
      </c>
      <c r="B12" s="14" t="s">
        <v>45</v>
      </c>
      <c r="C12" s="15">
        <v>3226.28765</v>
      </c>
      <c r="D12" s="43"/>
      <c r="E12" s="15"/>
      <c r="F12" s="16"/>
      <c r="G12" s="15"/>
      <c r="H12" s="16"/>
      <c r="I12" s="17"/>
    </row>
    <row r="13" spans="1:9" ht="12.75">
      <c r="A13" s="13" t="s">
        <v>46</v>
      </c>
      <c r="B13" s="14" t="s">
        <v>47</v>
      </c>
      <c r="C13" s="15">
        <v>324526.5095</v>
      </c>
      <c r="D13" s="43"/>
      <c r="E13" s="15"/>
      <c r="F13" s="43"/>
      <c r="G13" s="15"/>
      <c r="H13" s="43"/>
      <c r="I13" s="17"/>
    </row>
    <row r="14" spans="1:9" ht="12.75">
      <c r="A14" s="13" t="s">
        <v>49</v>
      </c>
      <c r="B14" s="14" t="s">
        <v>50</v>
      </c>
      <c r="C14" s="15">
        <v>0</v>
      </c>
      <c r="D14" s="43"/>
      <c r="E14" s="15"/>
      <c r="F14" s="16"/>
      <c r="G14" s="15"/>
      <c r="H14" s="16"/>
      <c r="I14" s="17"/>
    </row>
    <row r="15" spans="1:9" ht="12.75">
      <c r="A15" s="13" t="s">
        <v>51</v>
      </c>
      <c r="B15" s="14" t="s">
        <v>52</v>
      </c>
      <c r="C15" s="15">
        <v>0</v>
      </c>
      <c r="D15" s="43"/>
      <c r="E15" s="15"/>
      <c r="F15" s="16"/>
      <c r="G15" s="15"/>
      <c r="H15" s="16"/>
      <c r="I15" s="17"/>
    </row>
    <row r="16" spans="1:9" ht="12.75">
      <c r="A16" s="13" t="s">
        <v>53</v>
      </c>
      <c r="B16" s="14" t="s">
        <v>54</v>
      </c>
      <c r="C16" s="15">
        <v>16386.16</v>
      </c>
      <c r="D16" s="43"/>
      <c r="E16" s="15"/>
      <c r="F16" s="43"/>
      <c r="G16" s="15"/>
      <c r="H16" s="43"/>
      <c r="I16" s="17"/>
    </row>
    <row r="17" spans="1:9" ht="12.75">
      <c r="A17" s="13" t="s">
        <v>55</v>
      </c>
      <c r="B17" s="14" t="s">
        <v>56</v>
      </c>
      <c r="C17" s="15">
        <v>26135.50764</v>
      </c>
      <c r="D17" s="16"/>
      <c r="E17" s="15"/>
      <c r="F17" s="16"/>
      <c r="G17" s="15"/>
      <c r="H17" s="16"/>
      <c r="I17" s="17"/>
    </row>
    <row r="18" spans="1:9" ht="12.75">
      <c r="A18" s="13">
        <v>389</v>
      </c>
      <c r="B18" s="14" t="s">
        <v>57</v>
      </c>
      <c r="C18" s="15">
        <v>0</v>
      </c>
      <c r="D18" s="43"/>
      <c r="E18" s="15"/>
      <c r="F18" s="43"/>
      <c r="G18" s="15"/>
      <c r="H18" s="43"/>
      <c r="I18" s="17"/>
    </row>
    <row r="19" spans="1:9" ht="12.75">
      <c r="A19" s="18" t="s">
        <v>58</v>
      </c>
      <c r="B19" s="19" t="s">
        <v>59</v>
      </c>
      <c r="C19" s="20">
        <v>372249.66067</v>
      </c>
      <c r="D19" s="43"/>
      <c r="E19" s="20"/>
      <c r="F19" s="43"/>
      <c r="G19" s="20"/>
      <c r="H19" s="43"/>
      <c r="I19" s="21"/>
    </row>
    <row r="20" spans="1:9" ht="12.75">
      <c r="A20" s="22" t="s">
        <v>60</v>
      </c>
      <c r="B20" s="23" t="s">
        <v>61</v>
      </c>
      <c r="C20" s="24">
        <v>3409594.51539</v>
      </c>
      <c r="D20" s="25"/>
      <c r="E20" s="24"/>
      <c r="F20" s="25"/>
      <c r="G20" s="24"/>
      <c r="H20" s="25"/>
      <c r="I20" s="26"/>
    </row>
    <row r="21" spans="1:9" ht="12.75">
      <c r="A21" s="27" t="s">
        <v>62</v>
      </c>
      <c r="B21" s="28" t="s">
        <v>63</v>
      </c>
      <c r="C21" s="10">
        <v>957756</v>
      </c>
      <c r="D21" s="16"/>
      <c r="E21" s="10"/>
      <c r="F21" s="16"/>
      <c r="G21" s="10"/>
      <c r="H21" s="16"/>
      <c r="I21" s="12"/>
    </row>
    <row r="22" spans="1:9" ht="12.75">
      <c r="A22" s="8" t="s">
        <v>64</v>
      </c>
      <c r="B22" s="29" t="s">
        <v>65</v>
      </c>
      <c r="C22" s="15">
        <v>103892</v>
      </c>
      <c r="D22" s="16"/>
      <c r="E22" s="15"/>
      <c r="F22" s="16"/>
      <c r="G22" s="15"/>
      <c r="H22" s="16"/>
      <c r="I22" s="17"/>
    </row>
    <row r="23" spans="1:9" ht="12.75">
      <c r="A23" s="8" t="s">
        <v>66</v>
      </c>
      <c r="B23" s="29" t="s">
        <v>67</v>
      </c>
      <c r="C23" s="15">
        <v>128722.39535</v>
      </c>
      <c r="D23" s="16"/>
      <c r="E23" s="15"/>
      <c r="F23" s="16"/>
      <c r="G23" s="15"/>
      <c r="H23" s="16"/>
      <c r="I23" s="17"/>
    </row>
    <row r="24" spans="1:9" ht="12.75">
      <c r="A24" s="8" t="s">
        <v>68</v>
      </c>
      <c r="B24" s="29" t="s">
        <v>69</v>
      </c>
      <c r="C24" s="15">
        <v>227558</v>
      </c>
      <c r="D24" s="16"/>
      <c r="E24" s="15"/>
      <c r="F24" s="16"/>
      <c r="G24" s="15"/>
      <c r="H24" s="16"/>
      <c r="I24" s="17"/>
    </row>
    <row r="25" spans="1:9" ht="12.75">
      <c r="A25" s="8" t="s">
        <v>70</v>
      </c>
      <c r="B25" s="29" t="s">
        <v>71</v>
      </c>
      <c r="C25" s="15">
        <v>1644272.47368</v>
      </c>
      <c r="D25" s="16"/>
      <c r="E25" s="15"/>
      <c r="F25" s="16"/>
      <c r="G25" s="15"/>
      <c r="H25" s="16"/>
      <c r="I25" s="17"/>
    </row>
    <row r="26" spans="1:9" ht="12.75">
      <c r="A26" s="59" t="s">
        <v>72</v>
      </c>
      <c r="B26" s="29" t="s">
        <v>73</v>
      </c>
      <c r="C26" s="15">
        <v>24656.68862</v>
      </c>
      <c r="D26" s="16"/>
      <c r="E26" s="15"/>
      <c r="F26" s="16"/>
      <c r="G26" s="15"/>
      <c r="H26" s="16"/>
      <c r="I26" s="17"/>
    </row>
    <row r="27" spans="1:9" ht="12.75">
      <c r="A27" s="195">
        <v>489</v>
      </c>
      <c r="B27" s="29" t="s">
        <v>74</v>
      </c>
      <c r="C27" s="15">
        <v>0</v>
      </c>
      <c r="D27" s="16"/>
      <c r="E27" s="15"/>
      <c r="F27" s="16"/>
      <c r="G27" s="15"/>
      <c r="H27" s="16"/>
      <c r="I27" s="17"/>
    </row>
    <row r="28" spans="1:9" ht="12.75">
      <c r="A28" s="30" t="s">
        <v>75</v>
      </c>
      <c r="B28" s="31" t="s">
        <v>76</v>
      </c>
      <c r="C28" s="20">
        <v>372251.91067</v>
      </c>
      <c r="D28" s="16"/>
      <c r="E28" s="20"/>
      <c r="F28" s="16"/>
      <c r="G28" s="20"/>
      <c r="H28" s="16"/>
      <c r="I28" s="21"/>
    </row>
    <row r="29" spans="1:9" ht="12.75">
      <c r="A29" s="51" t="s">
        <v>77</v>
      </c>
      <c r="B29" s="52" t="s">
        <v>78</v>
      </c>
      <c r="C29" s="24">
        <v>3459109.46832</v>
      </c>
      <c r="D29" s="53"/>
      <c r="E29" s="24"/>
      <c r="F29" s="53"/>
      <c r="G29" s="24"/>
      <c r="H29" s="54"/>
      <c r="I29" s="26"/>
    </row>
    <row r="30" spans="1:9" ht="12.75">
      <c r="A30" s="50" t="s">
        <v>79</v>
      </c>
      <c r="B30" s="32" t="s">
        <v>80</v>
      </c>
      <c r="C30" s="33">
        <v>49514.952930000145</v>
      </c>
      <c r="D30" s="136"/>
      <c r="E30" s="33"/>
      <c r="F30" s="136"/>
      <c r="G30" s="34"/>
      <c r="H30" s="137"/>
      <c r="I30" s="35"/>
    </row>
    <row r="31" spans="1:9" ht="12.75">
      <c r="A31" s="140">
        <v>0</v>
      </c>
      <c r="B31" s="28" t="s">
        <v>81</v>
      </c>
      <c r="C31" s="138">
        <v>0</v>
      </c>
      <c r="D31" s="143"/>
      <c r="E31" s="138"/>
      <c r="F31" s="143"/>
      <c r="G31" s="138"/>
      <c r="H31" s="138"/>
      <c r="I31" s="139"/>
    </row>
    <row r="32" spans="1:9" ht="12.75">
      <c r="A32" s="59" t="s">
        <v>82</v>
      </c>
      <c r="B32" s="29" t="s">
        <v>83</v>
      </c>
      <c r="C32" s="15">
        <v>262599.98598</v>
      </c>
      <c r="D32" s="16"/>
      <c r="E32" s="15"/>
      <c r="F32" s="16"/>
      <c r="G32" s="15"/>
      <c r="H32" s="16"/>
      <c r="I32" s="17"/>
    </row>
    <row r="33" spans="1:9" ht="12.75">
      <c r="A33" s="59" t="s">
        <v>84</v>
      </c>
      <c r="B33" s="29" t="s">
        <v>85</v>
      </c>
      <c r="C33" s="15">
        <v>3934.25585</v>
      </c>
      <c r="D33" s="16"/>
      <c r="E33" s="15"/>
      <c r="F33" s="16"/>
      <c r="G33" s="15"/>
      <c r="H33" s="16"/>
      <c r="I33" s="17"/>
    </row>
    <row r="34" spans="1:9" ht="12.75">
      <c r="A34" s="8" t="s">
        <v>86</v>
      </c>
      <c r="B34" s="29" t="s">
        <v>87</v>
      </c>
      <c r="C34" s="15">
        <v>43717.10754</v>
      </c>
      <c r="D34" s="16"/>
      <c r="E34" s="15"/>
      <c r="F34" s="16"/>
      <c r="G34" s="15"/>
      <c r="H34" s="16"/>
      <c r="I34" s="17"/>
    </row>
    <row r="35" spans="1:9" ht="12.75">
      <c r="A35" s="51" t="s">
        <v>88</v>
      </c>
      <c r="B35" s="52" t="s">
        <v>89</v>
      </c>
      <c r="C35" s="24">
        <v>310251.34937</v>
      </c>
      <c r="D35" s="54"/>
      <c r="E35" s="24"/>
      <c r="F35" s="54"/>
      <c r="G35" s="24"/>
      <c r="H35" s="54"/>
      <c r="I35" s="26"/>
    </row>
    <row r="36" spans="1:9" ht="12.75">
      <c r="A36" s="8" t="s">
        <v>90</v>
      </c>
      <c r="B36" s="29" t="s">
        <v>91</v>
      </c>
      <c r="C36" s="15">
        <v>1807.12625</v>
      </c>
      <c r="D36" s="16"/>
      <c r="E36" s="15"/>
      <c r="F36" s="16"/>
      <c r="G36" s="15"/>
      <c r="H36" s="16"/>
      <c r="I36" s="17"/>
    </row>
    <row r="37" spans="1:9" ht="12.75">
      <c r="A37" s="8" t="s">
        <v>92</v>
      </c>
      <c r="B37" s="29" t="s">
        <v>93</v>
      </c>
      <c r="C37" s="15">
        <v>128082.28447</v>
      </c>
      <c r="D37" s="16"/>
      <c r="E37" s="15"/>
      <c r="F37" s="16"/>
      <c r="G37" s="15"/>
      <c r="H37" s="16"/>
      <c r="I37" s="17"/>
    </row>
    <row r="38" spans="1:9" ht="12.75">
      <c r="A38" s="51" t="s">
        <v>94</v>
      </c>
      <c r="B38" s="52" t="s">
        <v>95</v>
      </c>
      <c r="C38" s="24">
        <v>129889.41072</v>
      </c>
      <c r="D38" s="54"/>
      <c r="E38" s="24"/>
      <c r="F38" s="54"/>
      <c r="G38" s="24"/>
      <c r="H38" s="54"/>
      <c r="I38" s="26"/>
    </row>
    <row r="39" spans="1:9" ht="12.75">
      <c r="A39" s="36" t="s">
        <v>96</v>
      </c>
      <c r="B39" s="37" t="s">
        <v>3</v>
      </c>
      <c r="C39" s="38">
        <v>180361.93865000003</v>
      </c>
      <c r="D39" s="39"/>
      <c r="E39" s="38"/>
      <c r="F39" s="39"/>
      <c r="G39" s="38"/>
      <c r="H39" s="39"/>
      <c r="I39" s="40"/>
    </row>
    <row r="40" spans="1:9" ht="12.75">
      <c r="A40" s="131" t="s">
        <v>0</v>
      </c>
      <c r="B40" s="29" t="s">
        <v>97</v>
      </c>
      <c r="C40" s="15">
        <v>204826.95293000014</v>
      </c>
      <c r="D40" s="16"/>
      <c r="E40" s="15"/>
      <c r="F40" s="16"/>
      <c r="G40" s="15"/>
      <c r="H40" s="16"/>
      <c r="I40" s="17"/>
    </row>
    <row r="41" spans="1:9" ht="12.75">
      <c r="A41" s="131" t="s">
        <v>0</v>
      </c>
      <c r="B41" s="29" t="s">
        <v>98</v>
      </c>
      <c r="C41" s="15">
        <v>24465.01428000012</v>
      </c>
      <c r="D41" s="16"/>
      <c r="E41" s="15"/>
      <c r="F41" s="16"/>
      <c r="G41" s="15"/>
      <c r="H41" s="16"/>
      <c r="I41" s="17"/>
    </row>
    <row r="42" spans="1:9" ht="12.75">
      <c r="A42" s="141" t="s">
        <v>0</v>
      </c>
      <c r="B42" s="31" t="s">
        <v>99</v>
      </c>
      <c r="C42" s="20">
        <v>3149931.6964499997</v>
      </c>
      <c r="D42" s="129"/>
      <c r="E42" s="20"/>
      <c r="F42" s="129"/>
      <c r="G42" s="20"/>
      <c r="H42" s="129"/>
      <c r="I42" s="21"/>
    </row>
    <row r="43" spans="1:9" ht="12.75">
      <c r="A43" s="141">
        <v>0</v>
      </c>
      <c r="B43" s="31" t="s">
        <v>5</v>
      </c>
      <c r="C43" s="66">
        <v>1.1356439970823085</v>
      </c>
      <c r="D43" s="142">
        <v>0</v>
      </c>
      <c r="E43" s="41"/>
      <c r="F43" s="142"/>
      <c r="G43" s="41"/>
      <c r="H43" s="142"/>
      <c r="I43" s="4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1.28125" style="0" customWidth="1"/>
    <col min="3" max="3" width="12.28125" style="0" bestFit="1" customWidth="1"/>
    <col min="4" max="4" width="7.8515625" style="0" customWidth="1"/>
    <col min="5" max="5" width="12.28125" style="0" bestFit="1" customWidth="1"/>
    <col min="6" max="6" width="8.28125" style="0" customWidth="1"/>
    <col min="7" max="7" width="12.28125" style="0" bestFit="1" customWidth="1"/>
    <col min="8" max="8" width="8.28125" style="0" customWidth="1"/>
    <col min="9" max="9" width="10.8515625" style="0" customWidth="1"/>
  </cols>
  <sheetData>
    <row r="1" spans="1:9" ht="12.75">
      <c r="A1" s="5" t="s">
        <v>20</v>
      </c>
      <c r="B1" s="6" t="s">
        <v>172</v>
      </c>
      <c r="C1" s="57" t="s">
        <v>22</v>
      </c>
      <c r="D1" s="7" t="s">
        <v>23</v>
      </c>
      <c r="E1" s="57" t="s">
        <v>24</v>
      </c>
      <c r="F1" s="7" t="s">
        <v>23</v>
      </c>
      <c r="G1" s="57" t="s">
        <v>115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>
        <v>0</v>
      </c>
      <c r="F3" s="134">
        <v>0</v>
      </c>
      <c r="G3" s="135">
        <v>0</v>
      </c>
      <c r="H3" s="134">
        <v>0</v>
      </c>
      <c r="I3" s="115" t="s">
        <v>103</v>
      </c>
    </row>
    <row r="4" spans="1:9" ht="12.75">
      <c r="A4" s="5" t="s">
        <v>28</v>
      </c>
      <c r="B4" s="9" t="s">
        <v>29</v>
      </c>
      <c r="C4" s="10">
        <v>919950.93385</v>
      </c>
      <c r="D4" s="11">
        <v>0.011045226192092495</v>
      </c>
      <c r="E4" s="10">
        <v>930112</v>
      </c>
      <c r="F4" s="11">
        <v>0.0011053748903356885</v>
      </c>
      <c r="G4" s="10">
        <v>931140.1224499999</v>
      </c>
      <c r="H4" s="11">
        <v>0.04817575407659322</v>
      </c>
      <c r="I4" s="12">
        <v>975998.5</v>
      </c>
    </row>
    <row r="5" spans="1:9" ht="12.75">
      <c r="A5" s="13" t="s">
        <v>30</v>
      </c>
      <c r="B5" s="14" t="s">
        <v>31</v>
      </c>
      <c r="C5" s="15">
        <v>264786.53783</v>
      </c>
      <c r="D5" s="16">
        <v>0.050370620346881154</v>
      </c>
      <c r="E5" s="15">
        <v>278124</v>
      </c>
      <c r="F5" s="16">
        <v>-0.05687917299477935</v>
      </c>
      <c r="G5" s="15">
        <v>262304.53689</v>
      </c>
      <c r="H5" s="16">
        <v>-0.0044089854628971544</v>
      </c>
      <c r="I5" s="17">
        <v>261148.04</v>
      </c>
    </row>
    <row r="6" spans="1:9" ht="12.75">
      <c r="A6" s="13" t="s">
        <v>32</v>
      </c>
      <c r="B6" s="14" t="s">
        <v>33</v>
      </c>
      <c r="C6" s="15">
        <v>47907.70419</v>
      </c>
      <c r="D6" s="16">
        <v>0.08343743198686565</v>
      </c>
      <c r="E6" s="15">
        <v>51905</v>
      </c>
      <c r="F6" s="16">
        <v>-0.07847017204508235</v>
      </c>
      <c r="G6" s="15">
        <v>47832.00572</v>
      </c>
      <c r="H6" s="16">
        <v>0.0026052488940035523</v>
      </c>
      <c r="I6" s="17">
        <v>47956.62</v>
      </c>
    </row>
    <row r="7" spans="1:9" ht="12.75">
      <c r="A7" s="13" t="s">
        <v>34</v>
      </c>
      <c r="B7" s="14" t="s">
        <v>35</v>
      </c>
      <c r="C7" s="15">
        <v>48604.253840000005</v>
      </c>
      <c r="D7" s="16">
        <v>0.05291195639924662</v>
      </c>
      <c r="E7" s="15">
        <v>51176</v>
      </c>
      <c r="F7" s="16">
        <v>-0.13113626778177273</v>
      </c>
      <c r="G7" s="15">
        <v>44464.97036</v>
      </c>
      <c r="H7" s="16">
        <v>0.0454904079238882</v>
      </c>
      <c r="I7" s="17">
        <v>46487.7</v>
      </c>
    </row>
    <row r="8" spans="1:9" ht="12.75">
      <c r="A8" s="13" t="s">
        <v>36</v>
      </c>
      <c r="B8" s="14" t="s">
        <v>37</v>
      </c>
      <c r="C8" s="15">
        <v>15448.365399999999</v>
      </c>
      <c r="D8" s="16">
        <v>0.14115633230684727</v>
      </c>
      <c r="E8" s="15">
        <v>17629</v>
      </c>
      <c r="F8" s="16">
        <v>-0.012547813829485431</v>
      </c>
      <c r="G8" s="15">
        <v>17407.79459</v>
      </c>
      <c r="H8" s="16">
        <v>-0.02928542081332092</v>
      </c>
      <c r="I8" s="17">
        <v>16898</v>
      </c>
    </row>
    <row r="9" spans="1:9" ht="12.75">
      <c r="A9" s="13" t="s">
        <v>38</v>
      </c>
      <c r="B9" s="14" t="s">
        <v>39</v>
      </c>
      <c r="C9" s="15">
        <v>188800.42987</v>
      </c>
      <c r="D9" s="16">
        <v>0.03389595105480682</v>
      </c>
      <c r="E9" s="15">
        <v>195200</v>
      </c>
      <c r="F9" s="16">
        <v>-0.04870786834016382</v>
      </c>
      <c r="G9" s="15">
        <v>185692.22410000002</v>
      </c>
      <c r="H9" s="16">
        <v>0.012212551769419938</v>
      </c>
      <c r="I9" s="17">
        <v>187960</v>
      </c>
    </row>
    <row r="10" spans="1:9" ht="12.75">
      <c r="A10" s="13" t="s">
        <v>40</v>
      </c>
      <c r="B10" s="14" t="s">
        <v>41</v>
      </c>
      <c r="C10" s="15">
        <v>1557898.85476</v>
      </c>
      <c r="D10" s="16">
        <v>0.08929600584463554</v>
      </c>
      <c r="E10" s="15">
        <v>1697013</v>
      </c>
      <c r="F10" s="16">
        <v>-0.0013563072174462836</v>
      </c>
      <c r="G10" s="15">
        <v>1694711.3290199998</v>
      </c>
      <c r="H10" s="16">
        <v>0.0224570228146218</v>
      </c>
      <c r="I10" s="17">
        <v>1732769.5</v>
      </c>
    </row>
    <row r="11" spans="1:9" ht="12.75">
      <c r="A11" s="13" t="s">
        <v>42</v>
      </c>
      <c r="B11" s="14" t="s">
        <v>43</v>
      </c>
      <c r="C11" s="15">
        <v>76473.93359999999</v>
      </c>
      <c r="D11" s="43">
        <v>0.08034196896601134</v>
      </c>
      <c r="E11" s="15">
        <v>82618</v>
      </c>
      <c r="F11" s="16">
        <v>0.009873379893001612</v>
      </c>
      <c r="G11" s="15">
        <v>83433.7189</v>
      </c>
      <c r="H11" s="16">
        <v>-0.027291350907288993</v>
      </c>
      <c r="I11" s="17">
        <v>81156.7</v>
      </c>
    </row>
    <row r="12" spans="1:9" ht="12.75">
      <c r="A12" s="13" t="s">
        <v>44</v>
      </c>
      <c r="B12" s="14" t="s">
        <v>45</v>
      </c>
      <c r="C12" s="15">
        <v>261872.73964999997</v>
      </c>
      <c r="D12" s="43">
        <v>0.4259762222638817</v>
      </c>
      <c r="E12" s="15">
        <v>373424.3</v>
      </c>
      <c r="F12" s="16">
        <v>0.013054636830008147</v>
      </c>
      <c r="G12" s="15">
        <v>378299.21862</v>
      </c>
      <c r="H12" s="16">
        <v>-0.004008252053840778</v>
      </c>
      <c r="I12" s="17">
        <v>376782.9</v>
      </c>
    </row>
    <row r="13" spans="1:9" ht="12.75">
      <c r="A13" s="13" t="s">
        <v>46</v>
      </c>
      <c r="B13" s="14" t="s">
        <v>47</v>
      </c>
      <c r="C13" s="15">
        <v>233989.60353000002</v>
      </c>
      <c r="D13" s="43">
        <v>0.06965564377269563</v>
      </c>
      <c r="E13" s="15">
        <v>250288.3</v>
      </c>
      <c r="F13" s="43">
        <v>-0.017024165532308434</v>
      </c>
      <c r="G13" s="15">
        <v>246027.35054999992</v>
      </c>
      <c r="H13" s="43">
        <v>0.00883905567872273</v>
      </c>
      <c r="I13" s="17">
        <v>248202</v>
      </c>
    </row>
    <row r="14" spans="1:9" ht="12.75">
      <c r="A14" s="13" t="s">
        <v>49</v>
      </c>
      <c r="B14" s="14" t="s">
        <v>50</v>
      </c>
      <c r="C14" s="15">
        <v>21660.013</v>
      </c>
      <c r="D14" s="43">
        <v>0.03878053997474522</v>
      </c>
      <c r="E14" s="15">
        <v>22500</v>
      </c>
      <c r="F14" s="16">
        <v>0.08921826666666667</v>
      </c>
      <c r="G14" s="15">
        <v>24507.411</v>
      </c>
      <c r="H14" s="16">
        <v>-0.020704390194459955</v>
      </c>
      <c r="I14" s="17">
        <v>24000</v>
      </c>
    </row>
    <row r="15" spans="1:9" ht="12.75">
      <c r="A15" s="13" t="s">
        <v>51</v>
      </c>
      <c r="B15" s="14" t="s">
        <v>52</v>
      </c>
      <c r="C15" s="15">
        <v>13835.757</v>
      </c>
      <c r="D15" s="43">
        <v>-1</v>
      </c>
      <c r="E15" s="15">
        <v>0</v>
      </c>
      <c r="F15" s="16" t="s">
        <v>48</v>
      </c>
      <c r="G15" s="15">
        <v>0</v>
      </c>
      <c r="H15" s="16" t="s">
        <v>48</v>
      </c>
      <c r="I15" s="17">
        <v>0</v>
      </c>
    </row>
    <row r="16" spans="1:9" ht="12.75">
      <c r="A16" s="13" t="s">
        <v>53</v>
      </c>
      <c r="B16" s="14" t="s">
        <v>54</v>
      </c>
      <c r="C16" s="15">
        <v>44599.140450000006</v>
      </c>
      <c r="D16" s="43">
        <v>0.04183622220459169</v>
      </c>
      <c r="E16" s="15">
        <v>46465</v>
      </c>
      <c r="F16" s="43">
        <v>-0.023512382438394586</v>
      </c>
      <c r="G16" s="15">
        <v>45372.497149999996</v>
      </c>
      <c r="H16" s="43">
        <v>-0.0029180044810471063</v>
      </c>
      <c r="I16" s="17">
        <v>45240.1</v>
      </c>
    </row>
    <row r="17" spans="1:9" ht="12.75">
      <c r="A17" s="13" t="s">
        <v>55</v>
      </c>
      <c r="B17" s="14" t="s">
        <v>56</v>
      </c>
      <c r="C17" s="15">
        <v>16688.3347</v>
      </c>
      <c r="D17" s="16">
        <v>-0.2406072728155434</v>
      </c>
      <c r="E17" s="15">
        <v>12673</v>
      </c>
      <c r="F17" s="16">
        <v>0.03966123569794028</v>
      </c>
      <c r="G17" s="15">
        <v>13175.626839999997</v>
      </c>
      <c r="H17" s="16">
        <v>-0.22329539806547816</v>
      </c>
      <c r="I17" s="17">
        <v>10233.57</v>
      </c>
    </row>
    <row r="18" spans="1:9" ht="12.75">
      <c r="A18" s="13">
        <v>389</v>
      </c>
      <c r="B18" s="14" t="s">
        <v>57</v>
      </c>
      <c r="C18" s="15">
        <v>0</v>
      </c>
      <c r="D18" s="43" t="s">
        <v>48</v>
      </c>
      <c r="E18" s="15">
        <v>0</v>
      </c>
      <c r="F18" s="43" t="s">
        <v>48</v>
      </c>
      <c r="G18" s="15">
        <v>0</v>
      </c>
      <c r="H18" s="43" t="s">
        <v>48</v>
      </c>
      <c r="I18" s="17">
        <v>0</v>
      </c>
    </row>
    <row r="19" spans="1:9" ht="12.75">
      <c r="A19" s="18" t="s">
        <v>58</v>
      </c>
      <c r="B19" s="19" t="s">
        <v>59</v>
      </c>
      <c r="C19" s="20">
        <v>191879.26281000001</v>
      </c>
      <c r="D19" s="43">
        <v>-0.0034618791018483936</v>
      </c>
      <c r="E19" s="20">
        <v>191215</v>
      </c>
      <c r="F19" s="43">
        <v>0.03626676719922604</v>
      </c>
      <c r="G19" s="20">
        <v>198149.74989</v>
      </c>
      <c r="H19" s="43">
        <v>-0.014126588055518233</v>
      </c>
      <c r="I19" s="21">
        <v>195350.57</v>
      </c>
    </row>
    <row r="20" spans="1:9" ht="12.75">
      <c r="A20" s="22" t="s">
        <v>60</v>
      </c>
      <c r="B20" s="23" t="s">
        <v>61</v>
      </c>
      <c r="C20" s="24">
        <v>3204056.9730599998</v>
      </c>
      <c r="D20" s="25">
        <v>0.05277216615112728</v>
      </c>
      <c r="E20" s="24">
        <v>3373142</v>
      </c>
      <c r="F20" s="25">
        <v>-0.0077363021954013535</v>
      </c>
      <c r="G20" s="24">
        <v>3347046.3541399995</v>
      </c>
      <c r="H20" s="25">
        <v>0.02384177493129007</v>
      </c>
      <c r="I20" s="26">
        <v>3426845.8800000004</v>
      </c>
    </row>
    <row r="21" spans="1:9" ht="12.75">
      <c r="A21" s="27" t="s">
        <v>62</v>
      </c>
      <c r="B21" s="28" t="s">
        <v>63</v>
      </c>
      <c r="C21" s="10">
        <v>1550286.40234</v>
      </c>
      <c r="D21" s="16">
        <v>0.008755541969220655</v>
      </c>
      <c r="E21" s="10">
        <v>1563860</v>
      </c>
      <c r="F21" s="16">
        <v>0.019277817841750644</v>
      </c>
      <c r="G21" s="10">
        <v>1594007.8082100002</v>
      </c>
      <c r="H21" s="16">
        <v>-0.005890377802191532</v>
      </c>
      <c r="I21" s="12">
        <v>1584618.5</v>
      </c>
    </row>
    <row r="22" spans="1:9" ht="12.75">
      <c r="A22" s="8" t="s">
        <v>64</v>
      </c>
      <c r="B22" s="29" t="s">
        <v>65</v>
      </c>
      <c r="C22" s="15">
        <v>188224.22073</v>
      </c>
      <c r="D22" s="16">
        <v>-0.07551749012359957</v>
      </c>
      <c r="E22" s="15">
        <v>174010</v>
      </c>
      <c r="F22" s="16">
        <v>0.14499293126831778</v>
      </c>
      <c r="G22" s="15">
        <v>199240.21996999998</v>
      </c>
      <c r="H22" s="16">
        <v>-0.11804955833486565</v>
      </c>
      <c r="I22" s="17">
        <v>175720</v>
      </c>
    </row>
    <row r="23" spans="1:9" ht="12.75">
      <c r="A23" s="8" t="s">
        <v>66</v>
      </c>
      <c r="B23" s="29" t="s">
        <v>67</v>
      </c>
      <c r="C23" s="15">
        <v>59943.60523</v>
      </c>
      <c r="D23" s="16">
        <v>0.09361123256549911</v>
      </c>
      <c r="E23" s="15">
        <v>65555</v>
      </c>
      <c r="F23" s="16">
        <v>-0.08763503317824733</v>
      </c>
      <c r="G23" s="15">
        <v>59810.085399999996</v>
      </c>
      <c r="H23" s="16">
        <v>0.047544065202087156</v>
      </c>
      <c r="I23" s="17">
        <v>62653.7</v>
      </c>
    </row>
    <row r="24" spans="1:9" ht="12.75">
      <c r="A24" s="8" t="s">
        <v>68</v>
      </c>
      <c r="B24" s="29" t="s">
        <v>69</v>
      </c>
      <c r="C24" s="15">
        <v>408918.22275</v>
      </c>
      <c r="D24" s="16">
        <v>-0.1597170757291716</v>
      </c>
      <c r="E24" s="15">
        <v>343607</v>
      </c>
      <c r="F24" s="16">
        <v>0.06151819025805643</v>
      </c>
      <c r="G24" s="15">
        <v>364745.0808</v>
      </c>
      <c r="H24" s="16">
        <v>0.02279517843465872</v>
      </c>
      <c r="I24" s="17">
        <v>373059.51</v>
      </c>
    </row>
    <row r="25" spans="1:9" ht="12.75">
      <c r="A25" s="8" t="s">
        <v>70</v>
      </c>
      <c r="B25" s="29" t="s">
        <v>71</v>
      </c>
      <c r="C25" s="15">
        <v>818033.02047</v>
      </c>
      <c r="D25" s="16">
        <v>-0.008602367256467075</v>
      </c>
      <c r="E25" s="15">
        <v>810996</v>
      </c>
      <c r="F25" s="16">
        <v>0.024970855072034916</v>
      </c>
      <c r="G25" s="15">
        <v>831247.26358</v>
      </c>
      <c r="H25" s="16">
        <v>0.04160340482934014</v>
      </c>
      <c r="I25" s="17">
        <v>865829.98</v>
      </c>
    </row>
    <row r="26" spans="1:9" ht="12.75">
      <c r="A26" s="59" t="s">
        <v>72</v>
      </c>
      <c r="B26" s="29" t="s">
        <v>73</v>
      </c>
      <c r="C26" s="15">
        <v>3066.9338900000002</v>
      </c>
      <c r="D26" s="16">
        <v>0.13892249565249015</v>
      </c>
      <c r="E26" s="15">
        <v>3493</v>
      </c>
      <c r="F26" s="16">
        <v>-0.35271616661895216</v>
      </c>
      <c r="G26" s="15">
        <v>2260.96243</v>
      </c>
      <c r="H26" s="16">
        <v>0.776385112246204</v>
      </c>
      <c r="I26" s="17">
        <v>4016.34</v>
      </c>
    </row>
    <row r="27" spans="1:9" ht="12.75">
      <c r="A27" s="195">
        <v>489</v>
      </c>
      <c r="B27" s="29" t="s">
        <v>74</v>
      </c>
      <c r="C27" s="15">
        <v>0</v>
      </c>
      <c r="D27" s="16" t="s">
        <v>48</v>
      </c>
      <c r="E27" s="15">
        <v>0</v>
      </c>
      <c r="F27" s="16" t="s">
        <v>48</v>
      </c>
      <c r="G27" s="15">
        <v>0</v>
      </c>
      <c r="H27" s="16" t="s">
        <v>48</v>
      </c>
      <c r="I27" s="17">
        <v>0</v>
      </c>
    </row>
    <row r="28" spans="1:9" ht="12.75">
      <c r="A28" s="30" t="s">
        <v>75</v>
      </c>
      <c r="B28" s="31" t="s">
        <v>76</v>
      </c>
      <c r="C28" s="20">
        <v>191879.26281000001</v>
      </c>
      <c r="D28" s="16">
        <v>-0.0034618791018483936</v>
      </c>
      <c r="E28" s="20">
        <v>191215</v>
      </c>
      <c r="F28" s="16">
        <v>0.03626676719922604</v>
      </c>
      <c r="G28" s="20">
        <v>198149.74989</v>
      </c>
      <c r="H28" s="16">
        <v>-0.014126588055518233</v>
      </c>
      <c r="I28" s="21">
        <v>195350.57</v>
      </c>
    </row>
    <row r="29" spans="1:9" ht="12.75">
      <c r="A29" s="51" t="s">
        <v>77</v>
      </c>
      <c r="B29" s="52" t="s">
        <v>78</v>
      </c>
      <c r="C29" s="24">
        <v>3220351.6682200003</v>
      </c>
      <c r="D29" s="53">
        <v>-0.020996361635676225</v>
      </c>
      <c r="E29" s="24">
        <v>3152736</v>
      </c>
      <c r="F29" s="53">
        <v>0.03067975570425186</v>
      </c>
      <c r="G29" s="24">
        <v>3249461.17028</v>
      </c>
      <c r="H29" s="54">
        <v>0.003627502869647687</v>
      </c>
      <c r="I29" s="26">
        <v>3261248.5999999996</v>
      </c>
    </row>
    <row r="30" spans="1:9" ht="12.75">
      <c r="A30" s="50" t="s">
        <v>79</v>
      </c>
      <c r="B30" s="32" t="s">
        <v>80</v>
      </c>
      <c r="C30" s="33">
        <v>16294.695160000585</v>
      </c>
      <c r="D30" s="136">
        <v>0</v>
      </c>
      <c r="E30" s="33">
        <v>-220406</v>
      </c>
      <c r="F30" s="136">
        <v>0</v>
      </c>
      <c r="G30" s="34">
        <v>-97585.18385999929</v>
      </c>
      <c r="H30" s="137">
        <v>0</v>
      </c>
      <c r="I30" s="35">
        <v>-165597.28000000073</v>
      </c>
    </row>
    <row r="31" spans="1:9" ht="12.75">
      <c r="A31" s="140">
        <v>0</v>
      </c>
      <c r="B31" s="28" t="s">
        <v>81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>
        <v>0</v>
      </c>
      <c r="I31" s="139">
        <v>0</v>
      </c>
    </row>
    <row r="32" spans="1:9" ht="12.75">
      <c r="A32" s="59" t="s">
        <v>82</v>
      </c>
      <c r="B32" s="29" t="s">
        <v>83</v>
      </c>
      <c r="C32" s="15">
        <v>196953.44793</v>
      </c>
      <c r="D32" s="16">
        <v>-0.011314592120225366</v>
      </c>
      <c r="E32" s="15">
        <v>194725</v>
      </c>
      <c r="F32" s="16">
        <v>-0.09569478392604944</v>
      </c>
      <c r="G32" s="15">
        <v>176090.83320000002</v>
      </c>
      <c r="H32" s="16">
        <v>0.1296772034354822</v>
      </c>
      <c r="I32" s="17">
        <v>198925.8</v>
      </c>
    </row>
    <row r="33" spans="1:9" ht="12.75">
      <c r="A33" s="59" t="s">
        <v>84</v>
      </c>
      <c r="B33" s="29" t="s">
        <v>85</v>
      </c>
      <c r="C33" s="15">
        <v>23883.275</v>
      </c>
      <c r="D33" s="16">
        <v>-0.42486949549423186</v>
      </c>
      <c r="E33" s="15">
        <v>13736</v>
      </c>
      <c r="F33" s="16">
        <v>-0.5578216365754223</v>
      </c>
      <c r="G33" s="15">
        <v>6073.762</v>
      </c>
      <c r="H33" s="16">
        <v>0.5988443406244763</v>
      </c>
      <c r="I33" s="17">
        <v>9711</v>
      </c>
    </row>
    <row r="34" spans="1:9" ht="12.75">
      <c r="A34" s="8" t="s">
        <v>86</v>
      </c>
      <c r="B34" s="29" t="s">
        <v>87</v>
      </c>
      <c r="C34" s="15">
        <v>137204.08326</v>
      </c>
      <c r="D34" s="16">
        <v>0.034101876772380725</v>
      </c>
      <c r="E34" s="15">
        <v>141883</v>
      </c>
      <c r="F34" s="16">
        <v>-0.3180516548846584</v>
      </c>
      <c r="G34" s="15">
        <v>96756.87705000001</v>
      </c>
      <c r="H34" s="16">
        <v>0.44408546720452463</v>
      </c>
      <c r="I34" s="17">
        <v>139725.2</v>
      </c>
    </row>
    <row r="35" spans="1:9" ht="12.75">
      <c r="A35" s="51" t="s">
        <v>88</v>
      </c>
      <c r="B35" s="52" t="s">
        <v>89</v>
      </c>
      <c r="C35" s="24">
        <v>358040.80619000003</v>
      </c>
      <c r="D35" s="54">
        <v>-0.021497008321212416</v>
      </c>
      <c r="E35" s="24">
        <v>350344</v>
      </c>
      <c r="F35" s="54">
        <v>-0.20386399581554132</v>
      </c>
      <c r="G35" s="24">
        <v>278921.47225</v>
      </c>
      <c r="H35" s="54">
        <v>0.24896085335359122</v>
      </c>
      <c r="I35" s="26">
        <v>348362</v>
      </c>
    </row>
    <row r="36" spans="1:9" ht="12.75">
      <c r="A36" s="8" t="s">
        <v>90</v>
      </c>
      <c r="B36" s="29" t="s">
        <v>91</v>
      </c>
      <c r="C36" s="15">
        <v>2882.376</v>
      </c>
      <c r="D36" s="16">
        <v>-0.6530639999777961</v>
      </c>
      <c r="E36" s="15">
        <v>1000</v>
      </c>
      <c r="F36" s="16">
        <v>-0.934787</v>
      </c>
      <c r="G36" s="15">
        <v>65.213</v>
      </c>
      <c r="H36" s="16">
        <v>14.334365847300386</v>
      </c>
      <c r="I36" s="17">
        <v>1000</v>
      </c>
    </row>
    <row r="37" spans="1:9" ht="12.75">
      <c r="A37" s="8" t="s">
        <v>92</v>
      </c>
      <c r="B37" s="29" t="s">
        <v>93</v>
      </c>
      <c r="C37" s="15">
        <v>111995.77028000001</v>
      </c>
      <c r="D37" s="16">
        <v>0.06650456263998819</v>
      </c>
      <c r="E37" s="15">
        <v>119444</v>
      </c>
      <c r="F37" s="16">
        <v>-0.16638863274840096</v>
      </c>
      <c r="G37" s="15">
        <v>99569.87615</v>
      </c>
      <c r="H37" s="16">
        <v>0.24299039815567752</v>
      </c>
      <c r="I37" s="17">
        <v>123764.4</v>
      </c>
    </row>
    <row r="38" spans="1:9" ht="12.75">
      <c r="A38" s="51" t="s">
        <v>94</v>
      </c>
      <c r="B38" s="52" t="s">
        <v>95</v>
      </c>
      <c r="C38" s="24">
        <v>114878.14628000002</v>
      </c>
      <c r="D38" s="54">
        <v>0.04845006557151406</v>
      </c>
      <c r="E38" s="24">
        <v>120444</v>
      </c>
      <c r="F38" s="54">
        <v>-0.1727683475308027</v>
      </c>
      <c r="G38" s="24">
        <v>99635.08915</v>
      </c>
      <c r="H38" s="54">
        <v>0.2522134627908846</v>
      </c>
      <c r="I38" s="26">
        <v>124764.4</v>
      </c>
    </row>
    <row r="39" spans="1:9" ht="12.75">
      <c r="A39" s="36" t="s">
        <v>96</v>
      </c>
      <c r="B39" s="37" t="s">
        <v>3</v>
      </c>
      <c r="C39" s="38">
        <v>243162.65991000002</v>
      </c>
      <c r="D39" s="39">
        <v>-0.05454233768831459</v>
      </c>
      <c r="E39" s="38">
        <v>229900</v>
      </c>
      <c r="F39" s="39">
        <v>-0.22015492344497617</v>
      </c>
      <c r="G39" s="38">
        <v>179286.38309999998</v>
      </c>
      <c r="H39" s="39">
        <v>0.24715327585857264</v>
      </c>
      <c r="I39" s="40">
        <v>223597.6</v>
      </c>
    </row>
    <row r="40" spans="1:9" ht="12.75">
      <c r="A40" s="131" t="s">
        <v>0</v>
      </c>
      <c r="B40" s="29" t="s">
        <v>97</v>
      </c>
      <c r="C40" s="15">
        <v>205095.12503000058</v>
      </c>
      <c r="D40" s="16">
        <v>-1.1228990693772607</v>
      </c>
      <c r="E40" s="15">
        <v>-25206</v>
      </c>
      <c r="F40" s="16">
        <v>-4.495478863762625</v>
      </c>
      <c r="G40" s="15">
        <v>88107.04024000073</v>
      </c>
      <c r="H40" s="16">
        <v>-0.7461869115216678</v>
      </c>
      <c r="I40" s="17">
        <v>22362.719999999274</v>
      </c>
    </row>
    <row r="41" spans="1:9" ht="12.75">
      <c r="A41" s="131" t="s">
        <v>0</v>
      </c>
      <c r="B41" s="29" t="s">
        <v>98</v>
      </c>
      <c r="C41" s="15">
        <v>-38067.53487999944</v>
      </c>
      <c r="D41" s="16">
        <v>5.701405825309479</v>
      </c>
      <c r="E41" s="15">
        <v>-255106</v>
      </c>
      <c r="F41" s="16">
        <v>-0.6425825231080443</v>
      </c>
      <c r="G41" s="15">
        <v>-91179.34285999925</v>
      </c>
      <c r="H41" s="16">
        <v>1.2070227058883893</v>
      </c>
      <c r="I41" s="17">
        <v>-201234.88000000073</v>
      </c>
    </row>
    <row r="42" spans="1:9" ht="12.75">
      <c r="A42" s="141" t="s">
        <v>0</v>
      </c>
      <c r="B42" s="31" t="s">
        <v>99</v>
      </c>
      <c r="C42" s="20">
        <v>3149281.3864699993</v>
      </c>
      <c r="D42" s="129">
        <v>0.05000747605679247</v>
      </c>
      <c r="E42" s="20">
        <v>3306769</v>
      </c>
      <c r="F42" s="129">
        <v>-0.028797466357644224</v>
      </c>
      <c r="G42" s="20">
        <v>3211542.430969999</v>
      </c>
      <c r="H42" s="129">
        <v>0.047710192944180614</v>
      </c>
      <c r="I42" s="21">
        <v>3364765.7400000007</v>
      </c>
    </row>
    <row r="43" spans="1:9" ht="12.75">
      <c r="A43" s="141">
        <v>0</v>
      </c>
      <c r="B43" s="31" t="s">
        <v>5</v>
      </c>
      <c r="C43" s="66">
        <v>0.8434482708237807</v>
      </c>
      <c r="D43" s="142">
        <v>0</v>
      </c>
      <c r="E43" s="66" t="s">
        <v>100</v>
      </c>
      <c r="F43" s="142">
        <v>0</v>
      </c>
      <c r="G43" s="41">
        <v>0.49143185732548106</v>
      </c>
      <c r="H43" s="142">
        <v>0</v>
      </c>
      <c r="I43" s="42">
        <v>0.10001323806695274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4.8515625" style="0" customWidth="1"/>
    <col min="3" max="3" width="12.28125" style="0" bestFit="1" customWidth="1"/>
    <col min="4" max="4" width="7.7109375" style="0" customWidth="1"/>
    <col min="5" max="5" width="12.28125" style="0" bestFit="1" customWidth="1"/>
    <col min="6" max="6" width="7.7109375" style="0" customWidth="1"/>
    <col min="7" max="7" width="12.28125" style="0" bestFit="1" customWidth="1"/>
    <col min="8" max="8" width="7.421875" style="0" customWidth="1"/>
    <col min="9" max="9" width="12.28125" style="0" bestFit="1" customWidth="1"/>
  </cols>
  <sheetData>
    <row r="1" spans="1:9" ht="12.75">
      <c r="A1" s="5" t="s">
        <v>20</v>
      </c>
      <c r="B1" s="6" t="s">
        <v>173</v>
      </c>
      <c r="C1" s="57" t="s">
        <v>115</v>
      </c>
      <c r="D1" s="7" t="s">
        <v>23</v>
      </c>
      <c r="E1" s="57" t="s">
        <v>105</v>
      </c>
      <c r="F1" s="7" t="s">
        <v>23</v>
      </c>
      <c r="G1" s="57" t="s">
        <v>115</v>
      </c>
      <c r="H1" s="7" t="s">
        <v>23</v>
      </c>
      <c r="I1" s="58" t="s">
        <v>105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116</v>
      </c>
      <c r="C3" s="133">
        <v>0</v>
      </c>
      <c r="D3" s="132">
        <v>0</v>
      </c>
      <c r="E3" s="133" t="s">
        <v>174</v>
      </c>
      <c r="F3" s="134">
        <v>0</v>
      </c>
      <c r="G3" s="135">
        <v>0</v>
      </c>
      <c r="H3" s="134">
        <v>0</v>
      </c>
      <c r="I3" s="115" t="s">
        <v>103</v>
      </c>
    </row>
    <row r="4" spans="1:9" ht="12.75">
      <c r="A4" s="5" t="s">
        <v>28</v>
      </c>
      <c r="B4" s="9" t="s">
        <v>117</v>
      </c>
      <c r="C4" s="10">
        <v>2246117.7726700003</v>
      </c>
      <c r="D4" s="11">
        <v>0.03515604938031941</v>
      </c>
      <c r="E4" s="10">
        <v>2325082.4</v>
      </c>
      <c r="F4" s="11">
        <v>0.2364282229309379</v>
      </c>
      <c r="G4" s="10">
        <v>2874797.5</v>
      </c>
      <c r="H4" s="11">
        <v>-0.15015158458987107</v>
      </c>
      <c r="I4" s="12">
        <v>2443142.1</v>
      </c>
    </row>
    <row r="5" spans="1:9" ht="12.75">
      <c r="A5" s="13" t="s">
        <v>30</v>
      </c>
      <c r="B5" s="14" t="s">
        <v>118</v>
      </c>
      <c r="C5" s="15">
        <v>475518.12336</v>
      </c>
      <c r="D5" s="16">
        <v>0.048909548337850696</v>
      </c>
      <c r="E5" s="15">
        <v>498775.5</v>
      </c>
      <c r="F5" s="16">
        <v>-0.015890315382371453</v>
      </c>
      <c r="G5" s="15">
        <v>490849.8</v>
      </c>
      <c r="H5" s="16">
        <v>0.0603400469960465</v>
      </c>
      <c r="I5" s="17">
        <v>520467.7</v>
      </c>
    </row>
    <row r="6" spans="1:9" ht="12.75">
      <c r="A6" s="13" t="s">
        <v>119</v>
      </c>
      <c r="B6" s="14" t="s">
        <v>120</v>
      </c>
      <c r="C6" s="15">
        <v>69922.09467000002</v>
      </c>
      <c r="D6" s="16">
        <v>-0.06117801090182965</v>
      </c>
      <c r="E6" s="15">
        <v>65644.4</v>
      </c>
      <c r="F6" s="16">
        <v>0.09815612603664607</v>
      </c>
      <c r="G6" s="15">
        <v>72087.8</v>
      </c>
      <c r="H6" s="16">
        <v>-0.05276343569924461</v>
      </c>
      <c r="I6" s="17">
        <v>68284.2</v>
      </c>
    </row>
    <row r="7" spans="1:9" ht="12.75">
      <c r="A7" s="13" t="s">
        <v>34</v>
      </c>
      <c r="B7" s="14" t="s">
        <v>121</v>
      </c>
      <c r="C7" s="15">
        <v>83939.33484999998</v>
      </c>
      <c r="D7" s="16">
        <v>0.04222174450552023</v>
      </c>
      <c r="E7" s="15">
        <v>87483.4</v>
      </c>
      <c r="F7" s="16">
        <v>-0.2030213731976581</v>
      </c>
      <c r="G7" s="15">
        <v>69722.4</v>
      </c>
      <c r="H7" s="16">
        <v>0.23478824595825734</v>
      </c>
      <c r="I7" s="17">
        <v>86092.4</v>
      </c>
    </row>
    <row r="8" spans="1:9" ht="12.75">
      <c r="A8" s="13" t="s">
        <v>36</v>
      </c>
      <c r="B8" s="14" t="s">
        <v>122</v>
      </c>
      <c r="C8" s="15">
        <v>143103.50387000002</v>
      </c>
      <c r="D8" s="16">
        <v>-0.26014529947372145</v>
      </c>
      <c r="E8" s="15">
        <v>105875.8</v>
      </c>
      <c r="F8" s="16">
        <v>0.6497207104928605</v>
      </c>
      <c r="G8" s="15">
        <v>174665.5</v>
      </c>
      <c r="H8" s="16">
        <v>-0.41123232693348144</v>
      </c>
      <c r="I8" s="17">
        <v>102837.4</v>
      </c>
    </row>
    <row r="9" spans="1:9" ht="12.75">
      <c r="A9" s="13" t="s">
        <v>38</v>
      </c>
      <c r="B9" s="14" t="s">
        <v>123</v>
      </c>
      <c r="C9" s="15">
        <v>186794.04382</v>
      </c>
      <c r="D9" s="16">
        <v>-0.07342655868201439</v>
      </c>
      <c r="E9" s="15">
        <v>173078.4</v>
      </c>
      <c r="F9" s="16">
        <v>-0.022705317359069582</v>
      </c>
      <c r="G9" s="15">
        <v>169148.6</v>
      </c>
      <c r="H9" s="16">
        <v>0.08465574057367305</v>
      </c>
      <c r="I9" s="17">
        <v>183468</v>
      </c>
    </row>
    <row r="10" spans="1:9" ht="12.75">
      <c r="A10" s="13" t="s">
        <v>40</v>
      </c>
      <c r="B10" s="14" t="s">
        <v>124</v>
      </c>
      <c r="C10" s="15">
        <v>4741626.06146</v>
      </c>
      <c r="D10" s="16">
        <v>0.02091026100642587</v>
      </c>
      <c r="E10" s="15">
        <v>4840774.7</v>
      </c>
      <c r="F10" s="16">
        <v>0.021801055934290846</v>
      </c>
      <c r="G10" s="15">
        <v>4946308.7</v>
      </c>
      <c r="H10" s="16">
        <v>0.021565576770410627</v>
      </c>
      <c r="I10" s="17">
        <v>5052978.7</v>
      </c>
    </row>
    <row r="11" spans="1:9" ht="12.75">
      <c r="A11" s="13" t="s">
        <v>125</v>
      </c>
      <c r="B11" s="14" t="s">
        <v>126</v>
      </c>
      <c r="C11" s="15">
        <v>0</v>
      </c>
      <c r="D11" s="43" t="s">
        <v>48</v>
      </c>
      <c r="E11" s="15">
        <v>0</v>
      </c>
      <c r="F11" s="16" t="s">
        <v>48</v>
      </c>
      <c r="G11" s="15">
        <v>0</v>
      </c>
      <c r="H11" s="16" t="s">
        <v>48</v>
      </c>
      <c r="I11" s="17">
        <v>0</v>
      </c>
    </row>
    <row r="12" spans="1:9" ht="12.75">
      <c r="A12" s="13" t="s">
        <v>127</v>
      </c>
      <c r="B12" s="14" t="s">
        <v>128</v>
      </c>
      <c r="C12" s="15">
        <v>0</v>
      </c>
      <c r="D12" s="43" t="s">
        <v>48</v>
      </c>
      <c r="E12" s="15">
        <v>0</v>
      </c>
      <c r="F12" s="16" t="s">
        <v>48</v>
      </c>
      <c r="G12" s="15">
        <v>0</v>
      </c>
      <c r="H12" s="16" t="s">
        <v>48</v>
      </c>
      <c r="I12" s="17">
        <v>0</v>
      </c>
    </row>
    <row r="13" spans="1:9" ht="12.75">
      <c r="A13" s="13" t="s">
        <v>129</v>
      </c>
      <c r="B13" s="14" t="s">
        <v>130</v>
      </c>
      <c r="C13" s="15">
        <v>2237738.09237</v>
      </c>
      <c r="D13" s="43">
        <v>0.05734983377526576</v>
      </c>
      <c r="E13" s="15">
        <v>2366072</v>
      </c>
      <c r="F13" s="43">
        <v>0.0160645576296917</v>
      </c>
      <c r="G13" s="15">
        <v>2404081.9</v>
      </c>
      <c r="H13" s="43">
        <v>-0.006702766656992843</v>
      </c>
      <c r="I13" s="17">
        <v>2387967.9</v>
      </c>
    </row>
    <row r="14" spans="1:9" ht="12.75">
      <c r="A14" s="13" t="s">
        <v>131</v>
      </c>
      <c r="B14" s="14" t="s">
        <v>132</v>
      </c>
      <c r="C14" s="15">
        <v>0</v>
      </c>
      <c r="D14" s="43" t="s">
        <v>48</v>
      </c>
      <c r="E14" s="15">
        <v>0</v>
      </c>
      <c r="F14" s="16" t="s">
        <v>48</v>
      </c>
      <c r="G14" s="15">
        <v>0</v>
      </c>
      <c r="H14" s="16" t="s">
        <v>48</v>
      </c>
      <c r="I14" s="17">
        <v>0</v>
      </c>
    </row>
    <row r="15" spans="1:9" ht="12.75">
      <c r="A15" s="13" t="s">
        <v>133</v>
      </c>
      <c r="B15" s="14" t="s">
        <v>134</v>
      </c>
      <c r="C15" s="15">
        <v>0</v>
      </c>
      <c r="D15" s="43" t="s">
        <v>48</v>
      </c>
      <c r="E15" s="15">
        <v>0</v>
      </c>
      <c r="F15" s="16" t="s">
        <v>48</v>
      </c>
      <c r="G15" s="15">
        <v>0</v>
      </c>
      <c r="H15" s="16" t="s">
        <v>48</v>
      </c>
      <c r="I15" s="17">
        <v>0</v>
      </c>
    </row>
    <row r="16" spans="1:9" ht="12.75">
      <c r="A16" s="13" t="s">
        <v>135</v>
      </c>
      <c r="B16" s="14" t="s">
        <v>136</v>
      </c>
      <c r="C16" s="15">
        <v>162967.17001</v>
      </c>
      <c r="D16" s="43">
        <v>0.013541561713715608</v>
      </c>
      <c r="E16" s="15">
        <v>165174</v>
      </c>
      <c r="F16" s="43">
        <v>0.003022872849237703</v>
      </c>
      <c r="G16" s="15">
        <v>165673.3</v>
      </c>
      <c r="H16" s="43">
        <v>0.06821738928360827</v>
      </c>
      <c r="I16" s="17">
        <v>176975.1</v>
      </c>
    </row>
    <row r="17" spans="1:9" ht="12.75">
      <c r="A17" s="13" t="s">
        <v>55</v>
      </c>
      <c r="B17" s="14" t="s">
        <v>137</v>
      </c>
      <c r="C17" s="15">
        <v>195745.40159</v>
      </c>
      <c r="D17" s="16">
        <v>-0.7521852385497971</v>
      </c>
      <c r="E17" s="15">
        <v>48508.6</v>
      </c>
      <c r="F17" s="16">
        <v>0.17298994405115795</v>
      </c>
      <c r="G17" s="15">
        <v>56900.1</v>
      </c>
      <c r="H17" s="16">
        <v>0.36302396656596386</v>
      </c>
      <c r="I17" s="17">
        <v>77556.2</v>
      </c>
    </row>
    <row r="18" spans="1:9" ht="12.75">
      <c r="A18" s="13">
        <v>389</v>
      </c>
      <c r="B18" s="14" t="s">
        <v>138</v>
      </c>
      <c r="C18" s="15">
        <v>0</v>
      </c>
      <c r="D18" s="43" t="s">
        <v>48</v>
      </c>
      <c r="E18" s="15">
        <v>0</v>
      </c>
      <c r="F18" s="43" t="s">
        <v>48</v>
      </c>
      <c r="G18" s="15">
        <v>0</v>
      </c>
      <c r="H18" s="43" t="s">
        <v>48</v>
      </c>
      <c r="I18" s="17">
        <v>0</v>
      </c>
    </row>
    <row r="19" spans="1:9" ht="12.75">
      <c r="A19" s="18" t="s">
        <v>58</v>
      </c>
      <c r="B19" s="19" t="s">
        <v>139</v>
      </c>
      <c r="C19" s="20">
        <v>8515.78612</v>
      </c>
      <c r="D19" s="43">
        <v>0.009419433375811383</v>
      </c>
      <c r="E19" s="20">
        <v>8596</v>
      </c>
      <c r="F19" s="43">
        <v>-0.07127733829688225</v>
      </c>
      <c r="G19" s="20">
        <v>7983.3</v>
      </c>
      <c r="H19" s="43">
        <v>-0.1380757330928313</v>
      </c>
      <c r="I19" s="21">
        <v>6881</v>
      </c>
    </row>
    <row r="20" spans="1:9" ht="12.75">
      <c r="A20" s="22" t="s">
        <v>60</v>
      </c>
      <c r="B20" s="23" t="s">
        <v>140</v>
      </c>
      <c r="C20" s="24">
        <v>8081360.027740002</v>
      </c>
      <c r="D20" s="25">
        <v>0.0008432704689070581</v>
      </c>
      <c r="E20" s="24">
        <v>8088174.800000001</v>
      </c>
      <c r="F20" s="25">
        <v>0.08681823988274828</v>
      </c>
      <c r="G20" s="24">
        <v>8790375.9</v>
      </c>
      <c r="H20" s="25">
        <v>-0.03605675156622125</v>
      </c>
      <c r="I20" s="26">
        <v>8473423.500000002</v>
      </c>
    </row>
    <row r="21" spans="1:9" ht="12.75">
      <c r="A21" s="27" t="s">
        <v>62</v>
      </c>
      <c r="B21" s="28" t="s">
        <v>141</v>
      </c>
      <c r="C21" s="10">
        <v>4870191.99436</v>
      </c>
      <c r="D21" s="16">
        <v>-0.05279483738172187</v>
      </c>
      <c r="E21" s="10">
        <v>4613071</v>
      </c>
      <c r="F21" s="16">
        <v>0.09706746330156193</v>
      </c>
      <c r="G21" s="10">
        <v>5060850.1</v>
      </c>
      <c r="H21" s="16">
        <v>-0.062384795787569294</v>
      </c>
      <c r="I21" s="12">
        <v>4745130</v>
      </c>
    </row>
    <row r="22" spans="1:9" ht="12.75">
      <c r="A22" s="8" t="s">
        <v>64</v>
      </c>
      <c r="B22" s="29" t="s">
        <v>142</v>
      </c>
      <c r="C22" s="15">
        <v>347852.63024</v>
      </c>
      <c r="D22" s="16">
        <v>-0.09013193379727605</v>
      </c>
      <c r="E22" s="15">
        <v>316500</v>
      </c>
      <c r="F22" s="16">
        <v>0.20479968404423374</v>
      </c>
      <c r="G22" s="15">
        <v>381319.1</v>
      </c>
      <c r="H22" s="16">
        <v>-0.14454848970324324</v>
      </c>
      <c r="I22" s="17">
        <v>326200</v>
      </c>
    </row>
    <row r="23" spans="1:9" ht="12.75">
      <c r="A23" s="8" t="s">
        <v>66</v>
      </c>
      <c r="B23" s="29" t="s">
        <v>143</v>
      </c>
      <c r="C23" s="15">
        <v>372903.62701999996</v>
      </c>
      <c r="D23" s="16">
        <v>-0.4597352093086648</v>
      </c>
      <c r="E23" s="15">
        <v>201466.7</v>
      </c>
      <c r="F23" s="16">
        <v>0.4386394873197407</v>
      </c>
      <c r="G23" s="15">
        <v>289837.95</v>
      </c>
      <c r="H23" s="16">
        <v>-0.029884457849636403</v>
      </c>
      <c r="I23" s="17">
        <v>281176.3</v>
      </c>
    </row>
    <row r="24" spans="1:9" ht="12.75">
      <c r="A24" s="8" t="s">
        <v>68</v>
      </c>
      <c r="B24" s="29" t="s">
        <v>144</v>
      </c>
      <c r="C24" s="15">
        <v>457438.72555</v>
      </c>
      <c r="D24" s="16">
        <v>0.06408546721695467</v>
      </c>
      <c r="E24" s="15">
        <v>486753.9</v>
      </c>
      <c r="F24" s="16">
        <v>0.031431694743483306</v>
      </c>
      <c r="G24" s="15">
        <v>502053.4</v>
      </c>
      <c r="H24" s="16">
        <v>0.008075634982254805</v>
      </c>
      <c r="I24" s="17">
        <v>506107.8</v>
      </c>
    </row>
    <row r="25" spans="1:9" ht="12.75">
      <c r="A25" s="8" t="s">
        <v>70</v>
      </c>
      <c r="B25" s="29" t="s">
        <v>124</v>
      </c>
      <c r="C25" s="15">
        <v>2345266.36348</v>
      </c>
      <c r="D25" s="16">
        <v>0.027370083637217348</v>
      </c>
      <c r="E25" s="15">
        <v>2409456.5</v>
      </c>
      <c r="F25" s="16">
        <v>0.040773510540655124</v>
      </c>
      <c r="G25" s="15">
        <v>2507698.5</v>
      </c>
      <c r="H25" s="16">
        <v>0.00504131577221109</v>
      </c>
      <c r="I25" s="17">
        <v>2520340.6</v>
      </c>
    </row>
    <row r="26" spans="1:9" ht="12.75">
      <c r="A26" s="59" t="s">
        <v>72</v>
      </c>
      <c r="B26" s="29" t="s">
        <v>145</v>
      </c>
      <c r="C26" s="15">
        <v>24856.74123</v>
      </c>
      <c r="D26" s="16">
        <v>1.633173005035946</v>
      </c>
      <c r="E26" s="15">
        <v>65452.1</v>
      </c>
      <c r="F26" s="16">
        <v>-0.28064492965084387</v>
      </c>
      <c r="G26" s="15">
        <v>47083.3</v>
      </c>
      <c r="H26" s="16">
        <v>0.8988664770736119</v>
      </c>
      <c r="I26" s="17">
        <v>89404.9</v>
      </c>
    </row>
    <row r="27" spans="1:9" ht="12.75">
      <c r="A27" s="195">
        <v>489</v>
      </c>
      <c r="B27" s="29" t="s">
        <v>175</v>
      </c>
      <c r="C27" s="15">
        <v>0</v>
      </c>
      <c r="D27" s="16" t="s">
        <v>48</v>
      </c>
      <c r="E27" s="15">
        <v>0</v>
      </c>
      <c r="F27" s="16" t="s">
        <v>48</v>
      </c>
      <c r="G27" s="15">
        <v>0</v>
      </c>
      <c r="H27" s="16" t="s">
        <v>48</v>
      </c>
      <c r="I27" s="17">
        <v>0</v>
      </c>
    </row>
    <row r="28" spans="1:9" ht="12.75">
      <c r="A28" s="30" t="s">
        <v>75</v>
      </c>
      <c r="B28" s="31" t="s">
        <v>139</v>
      </c>
      <c r="C28" s="20">
        <v>8515.786119999999</v>
      </c>
      <c r="D28" s="16">
        <v>0.0094194333758116</v>
      </c>
      <c r="E28" s="20">
        <v>8596</v>
      </c>
      <c r="F28" s="16">
        <v>-0.07127733829688225</v>
      </c>
      <c r="G28" s="20">
        <v>7983.3</v>
      </c>
      <c r="H28" s="16">
        <v>-0.1380757330928313</v>
      </c>
      <c r="I28" s="21">
        <v>6881</v>
      </c>
    </row>
    <row r="29" spans="1:9" ht="12.75">
      <c r="A29" s="51" t="s">
        <v>77</v>
      </c>
      <c r="B29" s="52" t="s">
        <v>146</v>
      </c>
      <c r="C29" s="24">
        <v>8427025.867999999</v>
      </c>
      <c r="D29" s="53">
        <v>-0.038652980672207744</v>
      </c>
      <c r="E29" s="24">
        <v>8101296.2</v>
      </c>
      <c r="F29" s="53">
        <v>0.08585409455835007</v>
      </c>
      <c r="G29" s="24">
        <v>8796825.650000002</v>
      </c>
      <c r="H29" s="54">
        <v>-0.036556942560297595</v>
      </c>
      <c r="I29" s="26">
        <v>8475240.6</v>
      </c>
    </row>
    <row r="30" spans="1:9" ht="12.75">
      <c r="A30" s="50" t="s">
        <v>79</v>
      </c>
      <c r="B30" s="32" t="s">
        <v>147</v>
      </c>
      <c r="C30" s="33">
        <v>345665.8402599972</v>
      </c>
      <c r="D30" s="136">
        <v>0</v>
      </c>
      <c r="E30" s="33">
        <v>13121.399999999441</v>
      </c>
      <c r="F30" s="136">
        <v>0</v>
      </c>
      <c r="G30" s="34">
        <v>6449.750000001863</v>
      </c>
      <c r="H30" s="137">
        <v>0</v>
      </c>
      <c r="I30" s="35">
        <v>1817.0999999977648</v>
      </c>
    </row>
    <row r="31" spans="1:9" ht="12.75">
      <c r="A31" s="140">
        <v>0</v>
      </c>
      <c r="B31" s="28" t="s">
        <v>148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>
        <v>0</v>
      </c>
      <c r="I31" s="139">
        <v>0</v>
      </c>
    </row>
    <row r="32" spans="1:9" ht="12.75">
      <c r="A32" s="59" t="s">
        <v>82</v>
      </c>
      <c r="B32" s="29" t="s">
        <v>149</v>
      </c>
      <c r="C32" s="15">
        <v>221040.11568</v>
      </c>
      <c r="D32" s="16">
        <v>0.2563058933701333</v>
      </c>
      <c r="E32" s="15">
        <v>277694</v>
      </c>
      <c r="F32" s="16">
        <v>-0.04863626869863951</v>
      </c>
      <c r="G32" s="15">
        <v>264188</v>
      </c>
      <c r="H32" s="16">
        <v>0.03374869411176889</v>
      </c>
      <c r="I32" s="17">
        <v>273104</v>
      </c>
    </row>
    <row r="33" spans="1:9" ht="12.75">
      <c r="A33" s="59" t="s">
        <v>84</v>
      </c>
      <c r="B33" s="29" t="s">
        <v>150</v>
      </c>
      <c r="C33" s="15">
        <v>49623.37</v>
      </c>
      <c r="D33" s="16">
        <v>-1</v>
      </c>
      <c r="E33" s="15">
        <v>0</v>
      </c>
      <c r="F33" s="16" t="s">
        <v>48</v>
      </c>
      <c r="G33" s="15">
        <v>0</v>
      </c>
      <c r="H33" s="16" t="s">
        <v>48</v>
      </c>
      <c r="I33" s="17">
        <v>0</v>
      </c>
    </row>
    <row r="34" spans="1:9" ht="12.75">
      <c r="A34" s="8" t="s">
        <v>86</v>
      </c>
      <c r="B34" s="29" t="s">
        <v>151</v>
      </c>
      <c r="C34" s="15">
        <v>0</v>
      </c>
      <c r="D34" s="16" t="s">
        <v>48</v>
      </c>
      <c r="E34" s="15">
        <v>53851</v>
      </c>
      <c r="F34" s="16">
        <v>-0.2177861135354961</v>
      </c>
      <c r="G34" s="15">
        <v>42123</v>
      </c>
      <c r="H34" s="16">
        <v>0.5879448282411034</v>
      </c>
      <c r="I34" s="17">
        <v>66889</v>
      </c>
    </row>
    <row r="35" spans="1:9" ht="12.75">
      <c r="A35" s="51" t="s">
        <v>88</v>
      </c>
      <c r="B35" s="52" t="s">
        <v>152</v>
      </c>
      <c r="C35" s="24">
        <v>270663.48568</v>
      </c>
      <c r="D35" s="54">
        <v>0.22493434667422782</v>
      </c>
      <c r="E35" s="24">
        <v>331545</v>
      </c>
      <c r="F35" s="54">
        <v>-0.0761103319308088</v>
      </c>
      <c r="G35" s="24">
        <v>306311</v>
      </c>
      <c r="H35" s="54">
        <v>0.10996013855199455</v>
      </c>
      <c r="I35" s="26">
        <v>339993</v>
      </c>
    </row>
    <row r="36" spans="1:9" ht="12.75">
      <c r="A36" s="8" t="s">
        <v>90</v>
      </c>
      <c r="B36" s="29" t="s">
        <v>153</v>
      </c>
      <c r="C36" s="15">
        <v>0</v>
      </c>
      <c r="D36" s="16" t="s">
        <v>48</v>
      </c>
      <c r="E36" s="15">
        <v>0</v>
      </c>
      <c r="F36" s="16" t="s">
        <v>48</v>
      </c>
      <c r="G36" s="15">
        <v>0</v>
      </c>
      <c r="H36" s="16" t="s">
        <v>48</v>
      </c>
      <c r="I36" s="17">
        <v>1800</v>
      </c>
    </row>
    <row r="37" spans="1:9" ht="12.75">
      <c r="A37" s="8" t="s">
        <v>92</v>
      </c>
      <c r="B37" s="29" t="s">
        <v>154</v>
      </c>
      <c r="C37" s="15">
        <v>36470.70928</v>
      </c>
      <c r="D37" s="16">
        <v>-0.1350593223231112</v>
      </c>
      <c r="E37" s="15">
        <v>31545</v>
      </c>
      <c r="F37" s="16">
        <v>0.5350451735615787</v>
      </c>
      <c r="G37" s="15">
        <v>48423</v>
      </c>
      <c r="H37" s="16">
        <v>-0.6428763191045578</v>
      </c>
      <c r="I37" s="17">
        <v>17293</v>
      </c>
    </row>
    <row r="38" spans="1:9" ht="12.75">
      <c r="A38" s="51" t="s">
        <v>94</v>
      </c>
      <c r="B38" s="52" t="s">
        <v>155</v>
      </c>
      <c r="C38" s="24">
        <v>36470.70928</v>
      </c>
      <c r="D38" s="54">
        <v>-0.1350593223231112</v>
      </c>
      <c r="E38" s="24">
        <v>31545</v>
      </c>
      <c r="F38" s="54">
        <v>0.5350451735615787</v>
      </c>
      <c r="G38" s="24">
        <v>48423</v>
      </c>
      <c r="H38" s="54">
        <v>-0.6057039010387626</v>
      </c>
      <c r="I38" s="26">
        <v>19093</v>
      </c>
    </row>
    <row r="39" spans="1:9" ht="12.75">
      <c r="A39" s="36" t="s">
        <v>96</v>
      </c>
      <c r="B39" s="37" t="s">
        <v>4</v>
      </c>
      <c r="C39" s="38">
        <v>234192.77639999997</v>
      </c>
      <c r="D39" s="39">
        <v>0.28099595816568507</v>
      </c>
      <c r="E39" s="38">
        <v>300000</v>
      </c>
      <c r="F39" s="39">
        <v>-0.14037333333333332</v>
      </c>
      <c r="G39" s="38">
        <v>257888</v>
      </c>
      <c r="H39" s="39">
        <v>0.24433862762129296</v>
      </c>
      <c r="I39" s="40">
        <v>320900</v>
      </c>
    </row>
    <row r="40" spans="1:9" ht="12.75">
      <c r="A40" s="131" t="s">
        <v>0</v>
      </c>
      <c r="B40" s="29" t="s">
        <v>156</v>
      </c>
      <c r="C40" s="15">
        <v>532459.8840799972</v>
      </c>
      <c r="D40" s="16">
        <v>-0.6503026696147786</v>
      </c>
      <c r="E40" s="15">
        <v>186199.79999999944</v>
      </c>
      <c r="F40" s="16">
        <v>-0.056935882852707675</v>
      </c>
      <c r="G40" s="15">
        <v>175598.35000000187</v>
      </c>
      <c r="H40" s="16">
        <v>0.0551642427163797</v>
      </c>
      <c r="I40" s="17">
        <v>185285.09999999776</v>
      </c>
    </row>
    <row r="41" spans="1:9" ht="12.75">
      <c r="A41" s="131" t="s">
        <v>0</v>
      </c>
      <c r="B41" s="29" t="s">
        <v>157</v>
      </c>
      <c r="C41" s="15">
        <v>298267.1076799972</v>
      </c>
      <c r="D41" s="16">
        <v>-1.3815378802080105</v>
      </c>
      <c r="E41" s="15">
        <v>-113800.20000000056</v>
      </c>
      <c r="F41" s="16">
        <v>-0.2768936258460203</v>
      </c>
      <c r="G41" s="15">
        <v>-82289.64999999813</v>
      </c>
      <c r="H41" s="16">
        <v>0.6480189185396379</v>
      </c>
      <c r="I41" s="17">
        <v>-135614.90000000224</v>
      </c>
    </row>
    <row r="42" spans="1:9" ht="12.75">
      <c r="A42" s="141" t="s">
        <v>0</v>
      </c>
      <c r="B42" s="31" t="s">
        <v>158</v>
      </c>
      <c r="C42" s="20">
        <v>7817864.778020001</v>
      </c>
      <c r="D42" s="129">
        <v>0.03399856988154725</v>
      </c>
      <c r="E42" s="20">
        <v>8083661.000000001</v>
      </c>
      <c r="F42" s="129">
        <v>0.07475924584170457</v>
      </c>
      <c r="G42" s="20">
        <v>8687989.4</v>
      </c>
      <c r="H42" s="129">
        <v>-0.028236164744860084</v>
      </c>
      <c r="I42" s="21">
        <v>8442673.900000002</v>
      </c>
    </row>
    <row r="43" spans="1:9" ht="12.75">
      <c r="A43" s="141" t="s">
        <v>0</v>
      </c>
      <c r="B43" s="31" t="s">
        <v>6</v>
      </c>
      <c r="C43" s="66">
        <v>2.273596531306152</v>
      </c>
      <c r="D43" s="142">
        <v>0</v>
      </c>
      <c r="E43" s="41">
        <v>0.6206659999999982</v>
      </c>
      <c r="F43" s="142">
        <v>0</v>
      </c>
      <c r="G43" s="41">
        <v>0.6809093482442062</v>
      </c>
      <c r="H43" s="142">
        <v>0</v>
      </c>
      <c r="I43" s="42">
        <v>0.5773920224368893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4.28125" style="0" customWidth="1"/>
    <col min="3" max="3" width="12.28125" style="0" bestFit="1" customWidth="1"/>
    <col min="4" max="4" width="8.8515625" style="0" customWidth="1"/>
    <col min="5" max="5" width="12.28125" style="0" bestFit="1" customWidth="1"/>
    <col min="6" max="6" width="8.421875" style="0" customWidth="1"/>
    <col min="7" max="7" width="12.28125" style="0" bestFit="1" customWidth="1"/>
    <col min="8" max="8" width="8.57421875" style="0" customWidth="1"/>
    <col min="9" max="9" width="12.28125" style="0" bestFit="1" customWidth="1"/>
  </cols>
  <sheetData>
    <row r="1" spans="1:9" ht="12.75">
      <c r="A1" s="5" t="s">
        <v>20</v>
      </c>
      <c r="B1" s="6" t="s">
        <v>176</v>
      </c>
      <c r="C1" s="57" t="s">
        <v>115</v>
      </c>
      <c r="D1" s="7" t="s">
        <v>23</v>
      </c>
      <c r="E1" s="57" t="s">
        <v>105</v>
      </c>
      <c r="F1" s="7" t="s">
        <v>23</v>
      </c>
      <c r="G1" s="57" t="s">
        <v>115</v>
      </c>
      <c r="H1" s="7" t="s">
        <v>23</v>
      </c>
      <c r="I1" s="58" t="s">
        <v>105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116</v>
      </c>
      <c r="C3" s="133">
        <v>0</v>
      </c>
      <c r="D3" s="132">
        <v>0</v>
      </c>
      <c r="E3" s="133">
        <v>0</v>
      </c>
      <c r="F3" s="134">
        <v>0</v>
      </c>
      <c r="G3" s="135">
        <v>0</v>
      </c>
      <c r="H3" s="134">
        <v>0</v>
      </c>
      <c r="I3" s="115">
        <v>0</v>
      </c>
    </row>
    <row r="4" spans="1:9" ht="12.75">
      <c r="A4" s="5" t="s">
        <v>28</v>
      </c>
      <c r="B4" s="9" t="s">
        <v>117</v>
      </c>
      <c r="C4" s="10">
        <v>641876.9</v>
      </c>
      <c r="D4" s="11">
        <v>0.5072418091381695</v>
      </c>
      <c r="E4" s="10">
        <v>967463.7</v>
      </c>
      <c r="F4" s="11">
        <v>-0.017954368727219384</v>
      </c>
      <c r="G4" s="10">
        <v>950093.5</v>
      </c>
      <c r="H4" s="11">
        <v>0.035586287033855135</v>
      </c>
      <c r="I4" s="12">
        <v>983903.8</v>
      </c>
    </row>
    <row r="5" spans="1:9" ht="12.75">
      <c r="A5" s="13" t="s">
        <v>30</v>
      </c>
      <c r="B5" s="14" t="s">
        <v>118</v>
      </c>
      <c r="C5" s="15">
        <v>214671.9</v>
      </c>
      <c r="D5" s="16">
        <v>0.02081175971331139</v>
      </c>
      <c r="E5" s="15">
        <v>219139.6</v>
      </c>
      <c r="F5" s="16">
        <v>0.05811272814224352</v>
      </c>
      <c r="G5" s="15">
        <v>231874.4</v>
      </c>
      <c r="H5" s="16">
        <v>-0.02056199390704618</v>
      </c>
      <c r="I5" s="17">
        <v>227106.6</v>
      </c>
    </row>
    <row r="6" spans="1:9" ht="12.75">
      <c r="A6" s="13" t="s">
        <v>119</v>
      </c>
      <c r="B6" s="14" t="s">
        <v>120</v>
      </c>
      <c r="C6" s="15">
        <v>55759.9</v>
      </c>
      <c r="D6" s="16">
        <v>-0.1049643202373032</v>
      </c>
      <c r="E6" s="15">
        <v>49907.1</v>
      </c>
      <c r="F6" s="16">
        <v>0.357436116304093</v>
      </c>
      <c r="G6" s="15">
        <v>67745.7</v>
      </c>
      <c r="H6" s="16">
        <v>-0.2029781964021332</v>
      </c>
      <c r="I6" s="17">
        <v>53994.8</v>
      </c>
    </row>
    <row r="7" spans="1:9" ht="12.75">
      <c r="A7" s="13" t="s">
        <v>34</v>
      </c>
      <c r="B7" s="14" t="s">
        <v>121</v>
      </c>
      <c r="C7" s="15">
        <v>20152</v>
      </c>
      <c r="D7" s="16">
        <v>0.8186284239777689</v>
      </c>
      <c r="E7" s="15">
        <v>36649</v>
      </c>
      <c r="F7" s="16">
        <v>-0.006289393980736173</v>
      </c>
      <c r="G7" s="15">
        <v>36418.5</v>
      </c>
      <c r="H7" s="16">
        <v>-0.022900448947650233</v>
      </c>
      <c r="I7" s="17">
        <v>35584.5</v>
      </c>
    </row>
    <row r="8" spans="1:9" ht="12.75">
      <c r="A8" s="13" t="s">
        <v>36</v>
      </c>
      <c r="B8" s="14" t="s">
        <v>122</v>
      </c>
      <c r="C8" s="15">
        <v>18315</v>
      </c>
      <c r="D8" s="16">
        <v>-0.11259077259077262</v>
      </c>
      <c r="E8" s="15">
        <v>16252.9</v>
      </c>
      <c r="F8" s="16">
        <v>0.5197472451070271</v>
      </c>
      <c r="G8" s="15">
        <v>24700.3</v>
      </c>
      <c r="H8" s="16">
        <v>-0.3359999676117294</v>
      </c>
      <c r="I8" s="17">
        <v>16401</v>
      </c>
    </row>
    <row r="9" spans="1:9" ht="12.75">
      <c r="A9" s="13" t="s">
        <v>38</v>
      </c>
      <c r="B9" s="14" t="s">
        <v>123</v>
      </c>
      <c r="C9" s="15">
        <v>261762.9</v>
      </c>
      <c r="D9" s="16">
        <v>-0.30529727474749097</v>
      </c>
      <c r="E9" s="15">
        <v>181847.4</v>
      </c>
      <c r="F9" s="16">
        <v>-0.0053445911242063085</v>
      </c>
      <c r="G9" s="15">
        <v>180875.5</v>
      </c>
      <c r="H9" s="16">
        <v>-0.051476291703409185</v>
      </c>
      <c r="I9" s="17">
        <v>171564.7</v>
      </c>
    </row>
    <row r="10" spans="1:9" ht="12.75">
      <c r="A10" s="13" t="s">
        <v>40</v>
      </c>
      <c r="B10" s="14" t="s">
        <v>124</v>
      </c>
      <c r="C10" s="15">
        <v>1578926.9</v>
      </c>
      <c r="D10" s="16">
        <v>-0.09017098891658627</v>
      </c>
      <c r="E10" s="15">
        <v>1436553.5</v>
      </c>
      <c r="F10" s="16">
        <v>0.03125571028158715</v>
      </c>
      <c r="G10" s="15">
        <v>1481454</v>
      </c>
      <c r="H10" s="16">
        <v>0.027959221143552246</v>
      </c>
      <c r="I10" s="17">
        <v>1522874.3</v>
      </c>
    </row>
    <row r="11" spans="1:9" ht="12.75">
      <c r="A11" s="13" t="s">
        <v>125</v>
      </c>
      <c r="B11" s="14" t="s">
        <v>126</v>
      </c>
      <c r="C11" s="15">
        <v>44908.3</v>
      </c>
      <c r="D11" s="43">
        <v>-0.03342811907821058</v>
      </c>
      <c r="E11" s="15">
        <v>43407.1</v>
      </c>
      <c r="F11" s="16">
        <v>-0.2706723093687438</v>
      </c>
      <c r="G11" s="15">
        <v>31658</v>
      </c>
      <c r="H11" s="16">
        <v>0.03148335333880854</v>
      </c>
      <c r="I11" s="17">
        <v>32654.7</v>
      </c>
    </row>
    <row r="12" spans="1:9" ht="12.75">
      <c r="A12" s="13" t="s">
        <v>127</v>
      </c>
      <c r="B12" s="14" t="s">
        <v>128</v>
      </c>
      <c r="C12" s="15">
        <v>415531.4</v>
      </c>
      <c r="D12" s="43">
        <v>0.07916056403920366</v>
      </c>
      <c r="E12" s="15">
        <v>448425.1</v>
      </c>
      <c r="F12" s="16">
        <v>0.05894785996591184</v>
      </c>
      <c r="G12" s="15">
        <v>474858.8</v>
      </c>
      <c r="H12" s="16">
        <v>0.03904276387001776</v>
      </c>
      <c r="I12" s="17">
        <v>493398.6</v>
      </c>
    </row>
    <row r="13" spans="1:9" ht="12.75">
      <c r="A13" s="13" t="s">
        <v>129</v>
      </c>
      <c r="B13" s="14" t="s">
        <v>130</v>
      </c>
      <c r="C13" s="15">
        <v>218417.5</v>
      </c>
      <c r="D13" s="43">
        <v>0.047505808829420744</v>
      </c>
      <c r="E13" s="15">
        <v>228793.6</v>
      </c>
      <c r="F13" s="43">
        <v>0.04324683907242163</v>
      </c>
      <c r="G13" s="15">
        <v>238688.2</v>
      </c>
      <c r="H13" s="43">
        <v>0.04559127765846815</v>
      </c>
      <c r="I13" s="17">
        <v>249570.3</v>
      </c>
    </row>
    <row r="14" spans="1:9" ht="12.75">
      <c r="A14" s="13" t="s">
        <v>131</v>
      </c>
      <c r="B14" s="14" t="s">
        <v>132</v>
      </c>
      <c r="C14" s="15">
        <v>1095.5</v>
      </c>
      <c r="D14" s="43">
        <v>-0.005020538566864446</v>
      </c>
      <c r="E14" s="15">
        <v>1090</v>
      </c>
      <c r="F14" s="16">
        <v>0.008990825688073353</v>
      </c>
      <c r="G14" s="15">
        <v>1099.8</v>
      </c>
      <c r="H14" s="16">
        <v>-0.003455173667939584</v>
      </c>
      <c r="I14" s="17">
        <v>1096</v>
      </c>
    </row>
    <row r="15" spans="1:9" ht="12.75">
      <c r="A15" s="13" t="s">
        <v>133</v>
      </c>
      <c r="B15" s="14" t="s">
        <v>134</v>
      </c>
      <c r="C15" s="15">
        <v>3520.6</v>
      </c>
      <c r="D15" s="43">
        <v>-0.11946827245355902</v>
      </c>
      <c r="E15" s="15">
        <v>3100</v>
      </c>
      <c r="F15" s="16">
        <v>0.3523548387096775</v>
      </c>
      <c r="G15" s="15">
        <v>4192.3</v>
      </c>
      <c r="H15" s="16">
        <v>0.04835054743219708</v>
      </c>
      <c r="I15" s="17">
        <v>4395</v>
      </c>
    </row>
    <row r="16" spans="1:9" ht="12.75">
      <c r="A16" s="13" t="s">
        <v>135</v>
      </c>
      <c r="B16" s="14" t="s">
        <v>136</v>
      </c>
      <c r="C16" s="15">
        <v>5202.1</v>
      </c>
      <c r="D16" s="43">
        <v>0.0351588781453643</v>
      </c>
      <c r="E16" s="15">
        <v>5385</v>
      </c>
      <c r="F16" s="43">
        <v>0.12460538532961932</v>
      </c>
      <c r="G16" s="15">
        <v>6056</v>
      </c>
      <c r="H16" s="43">
        <v>-0.05845442536327609</v>
      </c>
      <c r="I16" s="17">
        <v>5702</v>
      </c>
    </row>
    <row r="17" spans="1:9" ht="12.75">
      <c r="A17" s="13" t="s">
        <v>55</v>
      </c>
      <c r="B17" s="14" t="s">
        <v>137</v>
      </c>
      <c r="C17" s="15">
        <v>175681.2</v>
      </c>
      <c r="D17" s="16">
        <v>-0.7837679842806174</v>
      </c>
      <c r="E17" s="15">
        <v>37987.9</v>
      </c>
      <c r="F17" s="16">
        <v>0.9008447426680601</v>
      </c>
      <c r="G17" s="15">
        <v>72209.1</v>
      </c>
      <c r="H17" s="16">
        <v>-0.3737174400456452</v>
      </c>
      <c r="I17" s="17">
        <v>45223.3</v>
      </c>
    </row>
    <row r="18" spans="1:9" ht="12.75">
      <c r="A18" s="13">
        <v>389</v>
      </c>
      <c r="B18" s="14" t="s">
        <v>138</v>
      </c>
      <c r="C18" s="15">
        <v>0</v>
      </c>
      <c r="D18" s="43" t="s">
        <v>48</v>
      </c>
      <c r="E18" s="15">
        <v>0</v>
      </c>
      <c r="F18" s="43" t="s">
        <v>48</v>
      </c>
      <c r="G18" s="15">
        <v>0</v>
      </c>
      <c r="H18" s="43" t="s">
        <v>48</v>
      </c>
      <c r="I18" s="17">
        <v>0</v>
      </c>
    </row>
    <row r="19" spans="1:9" ht="12.75">
      <c r="A19" s="18" t="s">
        <v>58</v>
      </c>
      <c r="B19" s="19" t="s">
        <v>139</v>
      </c>
      <c r="C19" s="20">
        <v>134340.3</v>
      </c>
      <c r="D19" s="43">
        <v>0.08776815296675695</v>
      </c>
      <c r="E19" s="20">
        <v>146131.1</v>
      </c>
      <c r="F19" s="43">
        <v>-0.032997082756511066</v>
      </c>
      <c r="G19" s="20">
        <v>141309.2</v>
      </c>
      <c r="H19" s="43">
        <v>-0.04225697972955771</v>
      </c>
      <c r="I19" s="21">
        <v>135337.9</v>
      </c>
    </row>
    <row r="20" spans="1:9" ht="12.75">
      <c r="A20" s="22" t="s">
        <v>60</v>
      </c>
      <c r="B20" s="23" t="s">
        <v>140</v>
      </c>
      <c r="C20" s="24">
        <v>3045727.0999999996</v>
      </c>
      <c r="D20" s="25">
        <v>-0.0012154733101333998</v>
      </c>
      <c r="E20" s="24">
        <v>3042025.0999999996</v>
      </c>
      <c r="F20" s="25">
        <v>0.025282302897500872</v>
      </c>
      <c r="G20" s="24">
        <v>3118934.5</v>
      </c>
      <c r="H20" s="25">
        <v>0.00611157432129454</v>
      </c>
      <c r="I20" s="26">
        <v>3137996.0999999996</v>
      </c>
    </row>
    <row r="21" spans="1:9" ht="12.75">
      <c r="A21" s="27" t="s">
        <v>62</v>
      </c>
      <c r="B21" s="28" t="s">
        <v>141</v>
      </c>
      <c r="C21" s="10">
        <v>1080075.7</v>
      </c>
      <c r="D21" s="16">
        <v>-0.005758485261727359</v>
      </c>
      <c r="E21" s="10">
        <v>1073856.1</v>
      </c>
      <c r="F21" s="16">
        <v>-0.024094382850737762</v>
      </c>
      <c r="G21" s="10">
        <v>1047982.2</v>
      </c>
      <c r="H21" s="16">
        <v>0.04894710997953969</v>
      </c>
      <c r="I21" s="12">
        <v>1099277.9</v>
      </c>
    </row>
    <row r="22" spans="1:9" ht="12.75">
      <c r="A22" s="8" t="s">
        <v>64</v>
      </c>
      <c r="B22" s="29" t="s">
        <v>142</v>
      </c>
      <c r="C22" s="15">
        <v>158591.1</v>
      </c>
      <c r="D22" s="16">
        <v>0.0032719364453616512</v>
      </c>
      <c r="E22" s="15">
        <v>159110</v>
      </c>
      <c r="F22" s="16">
        <v>0.022773552887939162</v>
      </c>
      <c r="G22" s="15">
        <v>162733.5</v>
      </c>
      <c r="H22" s="16">
        <v>-0.017411903510955028</v>
      </c>
      <c r="I22" s="17">
        <v>159900</v>
      </c>
    </row>
    <row r="23" spans="1:9" ht="12.75">
      <c r="A23" s="8" t="s">
        <v>66</v>
      </c>
      <c r="B23" s="29" t="s">
        <v>143</v>
      </c>
      <c r="C23" s="15">
        <v>40257.4</v>
      </c>
      <c r="D23" s="16">
        <v>0.2801099922001918</v>
      </c>
      <c r="E23" s="15">
        <v>51533.9</v>
      </c>
      <c r="F23" s="16">
        <v>0.13544870463908218</v>
      </c>
      <c r="G23" s="15">
        <v>58514.1</v>
      </c>
      <c r="H23" s="16">
        <v>-0.0926340830671582</v>
      </c>
      <c r="I23" s="17">
        <v>53093.7</v>
      </c>
    </row>
    <row r="24" spans="1:9" ht="12.75">
      <c r="A24" s="8" t="s">
        <v>68</v>
      </c>
      <c r="B24" s="29" t="s">
        <v>144</v>
      </c>
      <c r="C24" s="15">
        <v>331544.9</v>
      </c>
      <c r="D24" s="16">
        <v>-0.293830187102863</v>
      </c>
      <c r="E24" s="15">
        <v>234127</v>
      </c>
      <c r="F24" s="16">
        <v>0.15195940664681984</v>
      </c>
      <c r="G24" s="15">
        <v>269704.8</v>
      </c>
      <c r="H24" s="16">
        <v>-0.004719604545413968</v>
      </c>
      <c r="I24" s="17">
        <v>268431.9</v>
      </c>
    </row>
    <row r="25" spans="1:9" ht="12.75">
      <c r="A25" s="8" t="s">
        <v>70</v>
      </c>
      <c r="B25" s="29" t="s">
        <v>124</v>
      </c>
      <c r="C25" s="15">
        <v>1269848.4</v>
      </c>
      <c r="D25" s="16">
        <v>0.06421152320229734</v>
      </c>
      <c r="E25" s="15">
        <v>1351387.3</v>
      </c>
      <c r="F25" s="16">
        <v>0.022596334892299126</v>
      </c>
      <c r="G25" s="15">
        <v>1381923.7</v>
      </c>
      <c r="H25" s="16">
        <v>0.00324547585369583</v>
      </c>
      <c r="I25" s="17">
        <v>1386408.7</v>
      </c>
    </row>
    <row r="26" spans="1:9" ht="12.75">
      <c r="A26" s="59" t="s">
        <v>72</v>
      </c>
      <c r="B26" s="29" t="s">
        <v>145</v>
      </c>
      <c r="C26" s="15">
        <v>37996.9</v>
      </c>
      <c r="D26" s="16">
        <v>-0.24744650221465436</v>
      </c>
      <c r="E26" s="15">
        <v>28594.7</v>
      </c>
      <c r="F26" s="16">
        <v>1.0252529314873036</v>
      </c>
      <c r="G26" s="15">
        <v>57911.5</v>
      </c>
      <c r="H26" s="16">
        <v>-0.2812584719787952</v>
      </c>
      <c r="I26" s="17">
        <v>41623.4</v>
      </c>
    </row>
    <row r="27" spans="1:9" ht="12.75">
      <c r="A27" s="195">
        <v>489</v>
      </c>
      <c r="B27" s="29" t="s">
        <v>175</v>
      </c>
      <c r="C27" s="15">
        <v>0</v>
      </c>
      <c r="D27" s="16" t="s">
        <v>48</v>
      </c>
      <c r="E27" s="15">
        <v>0</v>
      </c>
      <c r="F27" s="16" t="s">
        <v>48</v>
      </c>
      <c r="G27" s="15">
        <v>0</v>
      </c>
      <c r="H27" s="16" t="s">
        <v>48</v>
      </c>
      <c r="I27" s="17">
        <v>0</v>
      </c>
    </row>
    <row r="28" spans="1:9" ht="12.75">
      <c r="A28" s="30" t="s">
        <v>75</v>
      </c>
      <c r="B28" s="31" t="s">
        <v>139</v>
      </c>
      <c r="C28" s="20">
        <v>134340.3</v>
      </c>
      <c r="D28" s="16">
        <v>0.08776815296675695</v>
      </c>
      <c r="E28" s="20">
        <v>146131.1</v>
      </c>
      <c r="F28" s="16">
        <v>-0.032997082756511066</v>
      </c>
      <c r="G28" s="20">
        <v>141309.2</v>
      </c>
      <c r="H28" s="16">
        <v>-0.04225697972955771</v>
      </c>
      <c r="I28" s="21">
        <v>135337.9</v>
      </c>
    </row>
    <row r="29" spans="1:9" ht="12.75">
      <c r="A29" s="51" t="s">
        <v>77</v>
      </c>
      <c r="B29" s="52" t="s">
        <v>146</v>
      </c>
      <c r="C29" s="24">
        <v>3052654.6999999997</v>
      </c>
      <c r="D29" s="53">
        <v>-0.0025926941556801784</v>
      </c>
      <c r="E29" s="24">
        <v>3044740.1</v>
      </c>
      <c r="F29" s="53">
        <v>0.02474395105184837</v>
      </c>
      <c r="G29" s="24">
        <v>3120079</v>
      </c>
      <c r="H29" s="54">
        <v>0.007690350148185351</v>
      </c>
      <c r="I29" s="26">
        <v>3144073.5</v>
      </c>
    </row>
    <row r="30" spans="1:9" ht="12.75">
      <c r="A30" s="50" t="s">
        <v>79</v>
      </c>
      <c r="B30" s="32" t="s">
        <v>147</v>
      </c>
      <c r="C30" s="33">
        <v>6927.600000000093</v>
      </c>
      <c r="D30" s="136">
        <v>0</v>
      </c>
      <c r="E30" s="33">
        <v>2715.0000000004657</v>
      </c>
      <c r="F30" s="136">
        <v>0</v>
      </c>
      <c r="G30" s="34">
        <v>1144.5</v>
      </c>
      <c r="H30" s="137">
        <v>0</v>
      </c>
      <c r="I30" s="35">
        <v>6077.4000000003725</v>
      </c>
    </row>
    <row r="31" spans="1:9" ht="12.75">
      <c r="A31" s="140">
        <v>0</v>
      </c>
      <c r="B31" s="28" t="s">
        <v>148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>
        <v>0</v>
      </c>
      <c r="I31" s="139">
        <v>0</v>
      </c>
    </row>
    <row r="32" spans="1:9" ht="12.75">
      <c r="A32" s="59" t="s">
        <v>82</v>
      </c>
      <c r="B32" s="29" t="s">
        <v>149</v>
      </c>
      <c r="C32" s="15">
        <v>307721</v>
      </c>
      <c r="D32" s="16">
        <v>0.1857169318961007</v>
      </c>
      <c r="E32" s="15">
        <v>364870</v>
      </c>
      <c r="F32" s="16">
        <v>-0.13932140214322913</v>
      </c>
      <c r="G32" s="15">
        <v>314035.8</v>
      </c>
      <c r="H32" s="16">
        <v>0.009343520706874858</v>
      </c>
      <c r="I32" s="17">
        <v>316970</v>
      </c>
    </row>
    <row r="33" spans="1:9" ht="12.75">
      <c r="A33" s="59" t="s">
        <v>84</v>
      </c>
      <c r="B33" s="29" t="s">
        <v>150</v>
      </c>
      <c r="C33" s="15">
        <v>51180.7</v>
      </c>
      <c r="D33" s="16">
        <v>-0.11472488652949252</v>
      </c>
      <c r="E33" s="15">
        <v>45309</v>
      </c>
      <c r="F33" s="16">
        <v>-0.012306605751616644</v>
      </c>
      <c r="G33" s="15">
        <v>44751.4</v>
      </c>
      <c r="H33" s="16">
        <v>-0.03897978610725031</v>
      </c>
      <c r="I33" s="17">
        <v>43007</v>
      </c>
    </row>
    <row r="34" spans="1:9" ht="12.75">
      <c r="A34" s="8" t="s">
        <v>86</v>
      </c>
      <c r="B34" s="29" t="s">
        <v>151</v>
      </c>
      <c r="C34" s="15">
        <v>173257.4</v>
      </c>
      <c r="D34" s="16">
        <v>-0.24542270633173527</v>
      </c>
      <c r="E34" s="15">
        <v>130736.1</v>
      </c>
      <c r="F34" s="16">
        <v>0.10453195406624494</v>
      </c>
      <c r="G34" s="15">
        <v>144402.2</v>
      </c>
      <c r="H34" s="16">
        <v>-0.04837737929200536</v>
      </c>
      <c r="I34" s="17">
        <v>137416.4</v>
      </c>
    </row>
    <row r="35" spans="1:9" ht="12.75">
      <c r="A35" s="51" t="s">
        <v>88</v>
      </c>
      <c r="B35" s="52" t="s">
        <v>152</v>
      </c>
      <c r="C35" s="24">
        <v>532159.1</v>
      </c>
      <c r="D35" s="54">
        <v>0.01645372596278068</v>
      </c>
      <c r="E35" s="24">
        <v>540915.1</v>
      </c>
      <c r="F35" s="54">
        <v>-0.06974421679113775</v>
      </c>
      <c r="G35" s="24">
        <v>503189.4</v>
      </c>
      <c r="H35" s="54">
        <v>-0.011518525628719523</v>
      </c>
      <c r="I35" s="26">
        <v>497393.4</v>
      </c>
    </row>
    <row r="36" spans="1:9" ht="12.75">
      <c r="A36" s="8" t="s">
        <v>90</v>
      </c>
      <c r="B36" s="29" t="s">
        <v>153</v>
      </c>
      <c r="C36" s="15">
        <v>439.9</v>
      </c>
      <c r="D36" s="16">
        <v>-1</v>
      </c>
      <c r="E36" s="15">
        <v>0</v>
      </c>
      <c r="F36" s="16" t="s">
        <v>48</v>
      </c>
      <c r="G36" s="15">
        <v>630</v>
      </c>
      <c r="H36" s="16">
        <v>-1</v>
      </c>
      <c r="I36" s="17">
        <v>0</v>
      </c>
    </row>
    <row r="37" spans="1:9" ht="12.75">
      <c r="A37" s="8" t="s">
        <v>92</v>
      </c>
      <c r="B37" s="29" t="s">
        <v>154</v>
      </c>
      <c r="C37" s="15">
        <v>303705.1</v>
      </c>
      <c r="D37" s="16">
        <v>0.1795080161643649</v>
      </c>
      <c r="E37" s="15">
        <v>358222.60000000003</v>
      </c>
      <c r="F37" s="16">
        <v>-0.10262641162227071</v>
      </c>
      <c r="G37" s="15">
        <v>321459.5</v>
      </c>
      <c r="H37" s="16">
        <v>-0.004982276149872618</v>
      </c>
      <c r="I37" s="17">
        <v>319857.9</v>
      </c>
    </row>
    <row r="38" spans="1:9" ht="12.75">
      <c r="A38" s="51" t="s">
        <v>94</v>
      </c>
      <c r="B38" s="52" t="s">
        <v>155</v>
      </c>
      <c r="C38" s="24">
        <v>304145</v>
      </c>
      <c r="D38" s="54">
        <v>0.17780203521346738</v>
      </c>
      <c r="E38" s="24">
        <v>358222.60000000003</v>
      </c>
      <c r="F38" s="54">
        <v>-0.10086772861343765</v>
      </c>
      <c r="G38" s="24">
        <v>322089.5</v>
      </c>
      <c r="H38" s="54">
        <v>-0.006928509001379979</v>
      </c>
      <c r="I38" s="26">
        <v>319857.9</v>
      </c>
    </row>
    <row r="39" spans="1:9" ht="12.75">
      <c r="A39" s="36" t="s">
        <v>96</v>
      </c>
      <c r="B39" s="37" t="s">
        <v>4</v>
      </c>
      <c r="C39" s="38">
        <v>228014.09999999998</v>
      </c>
      <c r="D39" s="39">
        <v>-0.1987666552200063</v>
      </c>
      <c r="E39" s="38">
        <v>182692.49999999994</v>
      </c>
      <c r="F39" s="39">
        <v>-0.008717380297493981</v>
      </c>
      <c r="G39" s="38">
        <v>181099.90000000002</v>
      </c>
      <c r="H39" s="39">
        <v>-0.01968195454552997</v>
      </c>
      <c r="I39" s="40">
        <v>177535.5</v>
      </c>
    </row>
    <row r="40" spans="1:9" ht="12.75">
      <c r="A40" s="131" t="s">
        <v>0</v>
      </c>
      <c r="B40" s="29" t="s">
        <v>156</v>
      </c>
      <c r="C40" s="15">
        <v>268690.5000000001</v>
      </c>
      <c r="D40" s="16">
        <v>-0.3131041104914376</v>
      </c>
      <c r="E40" s="15">
        <v>184562.40000000046</v>
      </c>
      <c r="F40" s="16">
        <v>-0.01377528684065906</v>
      </c>
      <c r="G40" s="15">
        <v>182020</v>
      </c>
      <c r="H40" s="16">
        <v>-0.02405175255466221</v>
      </c>
      <c r="I40" s="17">
        <v>177642.10000000038</v>
      </c>
    </row>
    <row r="41" spans="1:9" ht="12.75">
      <c r="A41" s="131" t="s">
        <v>0</v>
      </c>
      <c r="B41" s="29" t="s">
        <v>157</v>
      </c>
      <c r="C41" s="15">
        <v>40676.40000000014</v>
      </c>
      <c r="D41" s="16">
        <v>-0.9540298551494106</v>
      </c>
      <c r="E41" s="15">
        <v>1869.900000000518</v>
      </c>
      <c r="F41" s="16">
        <v>-0.5079416011552907</v>
      </c>
      <c r="G41" s="15">
        <v>920.0999999999767</v>
      </c>
      <c r="H41" s="16">
        <v>-0.884143027931326</v>
      </c>
      <c r="I41" s="17">
        <v>106.60000000038417</v>
      </c>
    </row>
    <row r="42" spans="1:9" ht="12.75">
      <c r="A42" s="141" t="s">
        <v>0</v>
      </c>
      <c r="B42" s="31" t="s">
        <v>158</v>
      </c>
      <c r="C42" s="20">
        <v>2987786.8</v>
      </c>
      <c r="D42" s="129">
        <v>0.07126817080790374</v>
      </c>
      <c r="E42" s="20">
        <v>3200720.9</v>
      </c>
      <c r="F42" s="129">
        <v>0.0007213687391487046</v>
      </c>
      <c r="G42" s="20">
        <v>3203029.8</v>
      </c>
      <c r="H42" s="129">
        <v>0.019928881086276443</v>
      </c>
      <c r="I42" s="21">
        <v>3266862.5999999996</v>
      </c>
    </row>
    <row r="43" spans="1:9" ht="12.75">
      <c r="A43" s="141" t="s">
        <v>0</v>
      </c>
      <c r="B43" s="31" t="s">
        <v>6</v>
      </c>
      <c r="C43" s="66">
        <v>1.1783942308830908</v>
      </c>
      <c r="D43" s="142">
        <v>0</v>
      </c>
      <c r="E43" s="41">
        <v>1.0102352313313383</v>
      </c>
      <c r="F43" s="142">
        <v>0</v>
      </c>
      <c r="G43" s="41">
        <v>1.0050806212482721</v>
      </c>
      <c r="H43" s="142">
        <v>0</v>
      </c>
      <c r="I43" s="42">
        <v>1.0006004432916256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3.421875" style="0" customWidth="1"/>
    <col min="3" max="3" width="11.57421875" style="0" bestFit="1" customWidth="1"/>
    <col min="4" max="4" width="9.28125" style="0" customWidth="1"/>
    <col min="5" max="5" width="12.28125" style="0" bestFit="1" customWidth="1"/>
    <col min="6" max="6" width="8.28125" style="0" customWidth="1"/>
    <col min="7" max="7" width="12.28125" style="0" bestFit="1" customWidth="1"/>
    <col min="8" max="8" width="8.7109375" style="0" customWidth="1"/>
    <col min="9" max="9" width="12.28125" style="0" bestFit="1" customWidth="1"/>
  </cols>
  <sheetData>
    <row r="1" spans="1:9" ht="12.75">
      <c r="A1" s="5" t="s">
        <v>20</v>
      </c>
      <c r="B1" s="6" t="s">
        <v>177</v>
      </c>
      <c r="C1" s="57" t="s">
        <v>115</v>
      </c>
      <c r="D1" s="7" t="s">
        <v>23</v>
      </c>
      <c r="E1" s="57" t="s">
        <v>105</v>
      </c>
      <c r="F1" s="7" t="s">
        <v>23</v>
      </c>
      <c r="G1" s="57" t="s">
        <v>115</v>
      </c>
      <c r="H1" s="7" t="s">
        <v>23</v>
      </c>
      <c r="I1" s="58" t="s">
        <v>105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116</v>
      </c>
      <c r="C3" s="133">
        <v>0</v>
      </c>
      <c r="D3" s="132">
        <v>0</v>
      </c>
      <c r="E3" s="133" t="s">
        <v>103</v>
      </c>
      <c r="F3" s="134">
        <v>0</v>
      </c>
      <c r="G3" s="135">
        <v>0</v>
      </c>
      <c r="H3" s="134">
        <v>0</v>
      </c>
      <c r="I3" s="115" t="s">
        <v>174</v>
      </c>
    </row>
    <row r="4" spans="1:9" ht="12.75">
      <c r="A4" s="5" t="s">
        <v>28</v>
      </c>
      <c r="B4" s="9" t="s">
        <v>117</v>
      </c>
      <c r="C4" s="10">
        <v>426275.7</v>
      </c>
      <c r="D4" s="11">
        <v>0.011767032462793446</v>
      </c>
      <c r="E4" s="10">
        <v>431291.7</v>
      </c>
      <c r="F4" s="11">
        <v>-0.021415693833199252</v>
      </c>
      <c r="G4" s="10">
        <v>422055.289</v>
      </c>
      <c r="H4" s="11">
        <v>0.04045053917094735</v>
      </c>
      <c r="I4" s="12">
        <v>439127.653</v>
      </c>
    </row>
    <row r="5" spans="1:9" ht="12.75">
      <c r="A5" s="13" t="s">
        <v>30</v>
      </c>
      <c r="B5" s="14" t="s">
        <v>118</v>
      </c>
      <c r="C5" s="15">
        <v>130292.8</v>
      </c>
      <c r="D5" s="16">
        <v>0.03771582159566753</v>
      </c>
      <c r="E5" s="15">
        <v>135206.9</v>
      </c>
      <c r="F5" s="16">
        <v>0.010756699547138532</v>
      </c>
      <c r="G5" s="15">
        <v>136661.28</v>
      </c>
      <c r="H5" s="16">
        <v>0.022064735527136798</v>
      </c>
      <c r="I5" s="17">
        <v>139676.675</v>
      </c>
    </row>
    <row r="6" spans="1:9" ht="12.75">
      <c r="A6" s="13" t="s">
        <v>119</v>
      </c>
      <c r="B6" s="14" t="s">
        <v>120</v>
      </c>
      <c r="C6" s="15">
        <v>17867.7</v>
      </c>
      <c r="D6" s="16">
        <v>0.04185765375509986</v>
      </c>
      <c r="E6" s="15">
        <v>18615.6</v>
      </c>
      <c r="F6" s="16">
        <v>-0.06822149165216253</v>
      </c>
      <c r="G6" s="15">
        <v>17345.616</v>
      </c>
      <c r="H6" s="16">
        <v>-0.017002336498167667</v>
      </c>
      <c r="I6" s="17">
        <v>17050.7</v>
      </c>
    </row>
    <row r="7" spans="1:9" ht="12.75">
      <c r="A7" s="13" t="s">
        <v>34</v>
      </c>
      <c r="B7" s="14" t="s">
        <v>121</v>
      </c>
      <c r="C7" s="15">
        <v>34671.3</v>
      </c>
      <c r="D7" s="16">
        <v>0.05187575891299139</v>
      </c>
      <c r="E7" s="15">
        <v>36469.9</v>
      </c>
      <c r="F7" s="16">
        <v>-0.08893780898768573</v>
      </c>
      <c r="G7" s="15">
        <v>33226.347</v>
      </c>
      <c r="H7" s="16">
        <v>0.01762917241549295</v>
      </c>
      <c r="I7" s="17">
        <v>33812.1</v>
      </c>
    </row>
    <row r="8" spans="1:9" ht="12.75">
      <c r="A8" s="13" t="s">
        <v>36</v>
      </c>
      <c r="B8" s="14" t="s">
        <v>122</v>
      </c>
      <c r="C8" s="15">
        <v>20245.8</v>
      </c>
      <c r="D8" s="16">
        <v>0.35188039000681637</v>
      </c>
      <c r="E8" s="15">
        <v>27369.9</v>
      </c>
      <c r="F8" s="16">
        <v>0.3163089013843675</v>
      </c>
      <c r="G8" s="15">
        <v>36027.243</v>
      </c>
      <c r="H8" s="16">
        <v>-0.3343210303380694</v>
      </c>
      <c r="I8" s="17">
        <v>23982.578</v>
      </c>
    </row>
    <row r="9" spans="1:9" ht="12.75">
      <c r="A9" s="13" t="s">
        <v>38</v>
      </c>
      <c r="B9" s="14" t="s">
        <v>123</v>
      </c>
      <c r="C9" s="15">
        <v>73561.3</v>
      </c>
      <c r="D9" s="16">
        <v>-0.1817803654910938</v>
      </c>
      <c r="E9" s="15">
        <v>60189.3</v>
      </c>
      <c r="F9" s="16">
        <v>0.07045973287610918</v>
      </c>
      <c r="G9" s="15">
        <v>64430.222</v>
      </c>
      <c r="H9" s="16">
        <v>-0.13360129350477798</v>
      </c>
      <c r="I9" s="17">
        <v>55822.261</v>
      </c>
    </row>
    <row r="10" spans="1:9" ht="12.75">
      <c r="A10" s="13" t="s">
        <v>40</v>
      </c>
      <c r="B10" s="14" t="s">
        <v>124</v>
      </c>
      <c r="C10" s="15">
        <v>1208385.4</v>
      </c>
      <c r="D10" s="16">
        <v>0.046385366787781566</v>
      </c>
      <c r="E10" s="15">
        <v>1264436.8</v>
      </c>
      <c r="F10" s="16">
        <v>0.0009068717392597477</v>
      </c>
      <c r="G10" s="15">
        <v>1265583.482</v>
      </c>
      <c r="H10" s="16">
        <v>0.03069305387789501</v>
      </c>
      <c r="I10" s="17">
        <v>1304428.104</v>
      </c>
    </row>
    <row r="11" spans="1:9" ht="12.75">
      <c r="A11" s="13" t="s">
        <v>125</v>
      </c>
      <c r="B11" s="14" t="s">
        <v>126</v>
      </c>
      <c r="C11" s="15">
        <v>443639.4</v>
      </c>
      <c r="D11" s="43">
        <v>-0.07172041076604106</v>
      </c>
      <c r="E11" s="15">
        <v>411821.4</v>
      </c>
      <c r="F11" s="16">
        <v>0.0336818897706626</v>
      </c>
      <c r="G11" s="15">
        <v>425692.323</v>
      </c>
      <c r="H11" s="16">
        <v>-0.022089829888710402</v>
      </c>
      <c r="I11" s="17">
        <v>416288.852</v>
      </c>
    </row>
    <row r="12" spans="1:9" ht="12.75">
      <c r="A12" s="13" t="s">
        <v>127</v>
      </c>
      <c r="B12" s="14" t="s">
        <v>128</v>
      </c>
      <c r="C12" s="15">
        <v>93159.2</v>
      </c>
      <c r="D12" s="43">
        <v>0.25953529012700843</v>
      </c>
      <c r="E12" s="15">
        <v>117337.3</v>
      </c>
      <c r="F12" s="16">
        <v>-0.1678147784208432</v>
      </c>
      <c r="G12" s="15">
        <v>97646.367</v>
      </c>
      <c r="H12" s="16">
        <v>0.6945388454646757</v>
      </c>
      <c r="I12" s="17">
        <v>165465.562</v>
      </c>
    </row>
    <row r="13" spans="1:9" ht="12.75">
      <c r="A13" s="13" t="s">
        <v>129</v>
      </c>
      <c r="B13" s="14" t="s">
        <v>130</v>
      </c>
      <c r="C13" s="15">
        <v>151787.9</v>
      </c>
      <c r="D13" s="43">
        <v>0.16589859929546424</v>
      </c>
      <c r="E13" s="15">
        <v>176969.3</v>
      </c>
      <c r="F13" s="43">
        <v>-0.025267619864010275</v>
      </c>
      <c r="G13" s="15">
        <v>172497.707</v>
      </c>
      <c r="H13" s="43">
        <v>-0.06718586120104197</v>
      </c>
      <c r="I13" s="17">
        <v>160908.3</v>
      </c>
    </row>
    <row r="14" spans="1:9" ht="12.75">
      <c r="A14" s="13" t="s">
        <v>131</v>
      </c>
      <c r="B14" s="14" t="s">
        <v>132</v>
      </c>
      <c r="C14" s="15">
        <v>3686.7</v>
      </c>
      <c r="D14" s="43">
        <v>-0.004909539696747745</v>
      </c>
      <c r="E14" s="15">
        <v>3668.6</v>
      </c>
      <c r="F14" s="16">
        <v>-0.0023265005724254087</v>
      </c>
      <c r="G14" s="15">
        <v>3660.065</v>
      </c>
      <c r="H14" s="16">
        <v>0.015992885372254278</v>
      </c>
      <c r="I14" s="17">
        <v>3718.6</v>
      </c>
    </row>
    <row r="15" spans="1:9" ht="12.75">
      <c r="A15" s="13" t="s">
        <v>133</v>
      </c>
      <c r="B15" s="14" t="s">
        <v>134</v>
      </c>
      <c r="C15" s="15">
        <v>0</v>
      </c>
      <c r="D15" s="43" t="s">
        <v>48</v>
      </c>
      <c r="E15" s="15">
        <v>0</v>
      </c>
      <c r="F15" s="16" t="s">
        <v>48</v>
      </c>
      <c r="G15" s="15">
        <v>0</v>
      </c>
      <c r="H15" s="16" t="s">
        <v>48</v>
      </c>
      <c r="I15" s="17">
        <v>0</v>
      </c>
    </row>
    <row r="16" spans="1:9" ht="12.75">
      <c r="A16" s="13" t="s">
        <v>135</v>
      </c>
      <c r="B16" s="14" t="s">
        <v>136</v>
      </c>
      <c r="C16" s="15">
        <v>82115.4</v>
      </c>
      <c r="D16" s="43">
        <v>-0.03233376443395504</v>
      </c>
      <c r="E16" s="15">
        <v>79460.3</v>
      </c>
      <c r="F16" s="43">
        <v>0.04008343789288489</v>
      </c>
      <c r="G16" s="15">
        <v>82645.342</v>
      </c>
      <c r="H16" s="43">
        <v>0.03163708851250196</v>
      </c>
      <c r="I16" s="17">
        <v>85260</v>
      </c>
    </row>
    <row r="17" spans="1:9" ht="12.75">
      <c r="A17" s="13" t="s">
        <v>55</v>
      </c>
      <c r="B17" s="14" t="s">
        <v>137</v>
      </c>
      <c r="C17" s="15">
        <v>19838.4</v>
      </c>
      <c r="D17" s="16">
        <v>-0.8252681667876441</v>
      </c>
      <c r="E17" s="15">
        <v>3466.4</v>
      </c>
      <c r="F17" s="16">
        <v>10.607049099930764</v>
      </c>
      <c r="G17" s="15">
        <v>40234.675</v>
      </c>
      <c r="H17" s="16">
        <v>-0.9792343295925716</v>
      </c>
      <c r="I17" s="17">
        <v>835.5</v>
      </c>
    </row>
    <row r="18" spans="1:9" ht="12.75">
      <c r="A18" s="13">
        <v>389</v>
      </c>
      <c r="B18" s="14" t="s">
        <v>138</v>
      </c>
      <c r="C18" s="15">
        <v>0</v>
      </c>
      <c r="D18" s="43" t="s">
        <v>48</v>
      </c>
      <c r="E18" s="15">
        <v>0</v>
      </c>
      <c r="F18" s="43" t="s">
        <v>48</v>
      </c>
      <c r="G18" s="15">
        <v>0</v>
      </c>
      <c r="H18" s="43" t="s">
        <v>48</v>
      </c>
      <c r="I18" s="17">
        <v>0</v>
      </c>
    </row>
    <row r="19" spans="1:9" ht="12.75">
      <c r="A19" s="18" t="s">
        <v>58</v>
      </c>
      <c r="B19" s="19" t="s">
        <v>139</v>
      </c>
      <c r="C19" s="20">
        <v>37656.8</v>
      </c>
      <c r="D19" s="43">
        <v>0.13101219434471328</v>
      </c>
      <c r="E19" s="20">
        <v>42590.3</v>
      </c>
      <c r="F19" s="43">
        <v>0.4099861940394878</v>
      </c>
      <c r="G19" s="20">
        <v>60051.735</v>
      </c>
      <c r="H19" s="43">
        <v>-0.3096725681614361</v>
      </c>
      <c r="I19" s="21">
        <v>41455.36</v>
      </c>
    </row>
    <row r="20" spans="1:9" ht="12.75">
      <c r="A20" s="22" t="s">
        <v>60</v>
      </c>
      <c r="B20" s="23" t="s">
        <v>140</v>
      </c>
      <c r="C20" s="24">
        <v>1950927.5</v>
      </c>
      <c r="D20" s="25">
        <v>0.02567686395317085</v>
      </c>
      <c r="E20" s="24">
        <v>2001021.1999999997</v>
      </c>
      <c r="F20" s="25">
        <v>0.028609928270625185</v>
      </c>
      <c r="G20" s="24">
        <v>2058270.273</v>
      </c>
      <c r="H20" s="25">
        <v>-0.009294232274033285</v>
      </c>
      <c r="I20" s="26">
        <v>2039140.2310000001</v>
      </c>
    </row>
    <row r="21" spans="1:9" ht="12.75">
      <c r="A21" s="27" t="s">
        <v>62</v>
      </c>
      <c r="B21" s="28" t="s">
        <v>141</v>
      </c>
      <c r="C21" s="10">
        <v>944615.4</v>
      </c>
      <c r="D21" s="16">
        <v>0.02703174223075336</v>
      </c>
      <c r="E21" s="10">
        <v>970150</v>
      </c>
      <c r="F21" s="16">
        <v>0.03987977116940678</v>
      </c>
      <c r="G21" s="10">
        <v>1008839.36</v>
      </c>
      <c r="H21" s="16">
        <v>-0.024473034041812152</v>
      </c>
      <c r="I21" s="12">
        <v>984150</v>
      </c>
    </row>
    <row r="22" spans="1:9" ht="12.75">
      <c r="A22" s="8" t="s">
        <v>64</v>
      </c>
      <c r="B22" s="29" t="s">
        <v>142</v>
      </c>
      <c r="C22" s="15">
        <v>62725.4</v>
      </c>
      <c r="D22" s="16">
        <v>-0.0018445478227321686</v>
      </c>
      <c r="E22" s="15">
        <v>62609.7</v>
      </c>
      <c r="F22" s="16">
        <v>0.013852709723892716</v>
      </c>
      <c r="G22" s="15">
        <v>63477.014</v>
      </c>
      <c r="H22" s="16">
        <v>0.04483490669551654</v>
      </c>
      <c r="I22" s="17">
        <v>66323</v>
      </c>
    </row>
    <row r="23" spans="1:9" ht="12.75">
      <c r="A23" s="8" t="s">
        <v>66</v>
      </c>
      <c r="B23" s="29" t="s">
        <v>143</v>
      </c>
      <c r="C23" s="15">
        <v>84599.1</v>
      </c>
      <c r="D23" s="16">
        <v>-0.41629639085995007</v>
      </c>
      <c r="E23" s="15">
        <v>49380.8</v>
      </c>
      <c r="F23" s="16">
        <v>0.19732586349350348</v>
      </c>
      <c r="G23" s="15">
        <v>59124.909</v>
      </c>
      <c r="H23" s="16">
        <v>-0.019422592261410444</v>
      </c>
      <c r="I23" s="17">
        <v>57976.55</v>
      </c>
    </row>
    <row r="24" spans="1:9" ht="12.75">
      <c r="A24" s="8" t="s">
        <v>68</v>
      </c>
      <c r="B24" s="29" t="s">
        <v>144</v>
      </c>
      <c r="C24" s="15">
        <v>135663.8</v>
      </c>
      <c r="D24" s="16">
        <v>0.09397422156831833</v>
      </c>
      <c r="E24" s="15">
        <v>148412.7</v>
      </c>
      <c r="F24" s="16">
        <v>-0.03700775607478337</v>
      </c>
      <c r="G24" s="15">
        <v>142920.279</v>
      </c>
      <c r="H24" s="16">
        <v>0.018784759019397086</v>
      </c>
      <c r="I24" s="17">
        <v>145605.002</v>
      </c>
    </row>
    <row r="25" spans="1:9" ht="12.75">
      <c r="A25" s="8" t="s">
        <v>70</v>
      </c>
      <c r="B25" s="29" t="s">
        <v>124</v>
      </c>
      <c r="C25" s="15">
        <v>636917.5</v>
      </c>
      <c r="D25" s="16">
        <v>0.05233911770362716</v>
      </c>
      <c r="E25" s="15">
        <v>670253.2</v>
      </c>
      <c r="F25" s="16">
        <v>0.03989801316875483</v>
      </c>
      <c r="G25" s="15">
        <v>696994.971</v>
      </c>
      <c r="H25" s="16">
        <v>-0.008903652476998973</v>
      </c>
      <c r="I25" s="17">
        <v>690789.17</v>
      </c>
    </row>
    <row r="26" spans="1:9" ht="12.75">
      <c r="A26" s="59" t="s">
        <v>72</v>
      </c>
      <c r="B26" s="29" t="s">
        <v>145</v>
      </c>
      <c r="C26" s="15">
        <v>51716.1</v>
      </c>
      <c r="D26" s="16">
        <v>-0.22104915103807124</v>
      </c>
      <c r="E26" s="15">
        <v>40284.3</v>
      </c>
      <c r="F26" s="16">
        <v>-0.33179869080510277</v>
      </c>
      <c r="G26" s="15">
        <v>26918.022</v>
      </c>
      <c r="H26" s="16">
        <v>0.5346483110831843</v>
      </c>
      <c r="I26" s="17">
        <v>41309.697</v>
      </c>
    </row>
    <row r="27" spans="1:9" ht="12.75">
      <c r="A27" s="195">
        <v>489</v>
      </c>
      <c r="B27" s="29" t="s">
        <v>175</v>
      </c>
      <c r="C27" s="15">
        <v>0</v>
      </c>
      <c r="D27" s="16" t="s">
        <v>48</v>
      </c>
      <c r="E27" s="15">
        <v>0</v>
      </c>
      <c r="F27" s="16" t="s">
        <v>48</v>
      </c>
      <c r="G27" s="15">
        <v>0</v>
      </c>
      <c r="H27" s="16" t="s">
        <v>48</v>
      </c>
      <c r="I27" s="17">
        <v>0</v>
      </c>
    </row>
    <row r="28" spans="1:9" ht="12.75">
      <c r="A28" s="30" t="s">
        <v>75</v>
      </c>
      <c r="B28" s="31" t="s">
        <v>139</v>
      </c>
      <c r="C28" s="20">
        <v>37656.8</v>
      </c>
      <c r="D28" s="16">
        <v>0.13101219434471328</v>
      </c>
      <c r="E28" s="20">
        <v>42590.3</v>
      </c>
      <c r="F28" s="16">
        <v>0.4099861940394878</v>
      </c>
      <c r="G28" s="20">
        <v>60051.735</v>
      </c>
      <c r="H28" s="16">
        <v>-0.3096725681614361</v>
      </c>
      <c r="I28" s="21">
        <v>41455.36</v>
      </c>
    </row>
    <row r="29" spans="1:9" ht="12.75">
      <c r="A29" s="51" t="s">
        <v>77</v>
      </c>
      <c r="B29" s="52" t="s">
        <v>146</v>
      </c>
      <c r="C29" s="24">
        <v>1953894.1000000003</v>
      </c>
      <c r="D29" s="53">
        <v>0.015244889679537734</v>
      </c>
      <c r="E29" s="24">
        <v>1983681</v>
      </c>
      <c r="F29" s="53">
        <v>0.03762968440994318</v>
      </c>
      <c r="G29" s="24">
        <v>2058326.2900000005</v>
      </c>
      <c r="H29" s="54">
        <v>-0.014923538191799706</v>
      </c>
      <c r="I29" s="26">
        <v>2027608.779</v>
      </c>
    </row>
    <row r="30" spans="1:9" ht="12.75">
      <c r="A30" s="50" t="s">
        <v>79</v>
      </c>
      <c r="B30" s="32" t="s">
        <v>147</v>
      </c>
      <c r="C30" s="33">
        <v>2966.600000000326</v>
      </c>
      <c r="D30" s="136">
        <v>0</v>
      </c>
      <c r="E30" s="33">
        <v>-17340.19999999972</v>
      </c>
      <c r="F30" s="136">
        <v>0</v>
      </c>
      <c r="G30" s="34">
        <v>56.01700000045821</v>
      </c>
      <c r="H30" s="137">
        <v>0</v>
      </c>
      <c r="I30" s="35">
        <v>-11531.452000000048</v>
      </c>
    </row>
    <row r="31" spans="1:9" ht="12.75">
      <c r="A31" s="140">
        <v>0</v>
      </c>
      <c r="B31" s="28" t="s">
        <v>148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>
        <v>0</v>
      </c>
      <c r="I31" s="139">
        <v>0</v>
      </c>
    </row>
    <row r="32" spans="1:9" ht="12.75">
      <c r="A32" s="59" t="s">
        <v>82</v>
      </c>
      <c r="B32" s="29" t="s">
        <v>149</v>
      </c>
      <c r="C32" s="15">
        <v>97400.8</v>
      </c>
      <c r="D32" s="16">
        <v>-0.014048139234996046</v>
      </c>
      <c r="E32" s="15">
        <v>96032.5</v>
      </c>
      <c r="F32" s="16">
        <v>-0.04822693359019085</v>
      </c>
      <c r="G32" s="15">
        <v>91401.147</v>
      </c>
      <c r="H32" s="16">
        <v>0.1611637652643462</v>
      </c>
      <c r="I32" s="17">
        <v>106131.7</v>
      </c>
    </row>
    <row r="33" spans="1:9" ht="12.75">
      <c r="A33" s="59" t="s">
        <v>84</v>
      </c>
      <c r="B33" s="29" t="s">
        <v>150</v>
      </c>
      <c r="C33" s="15">
        <v>350.3</v>
      </c>
      <c r="D33" s="16">
        <v>-1</v>
      </c>
      <c r="E33" s="15">
        <v>0</v>
      </c>
      <c r="F33" s="16" t="s">
        <v>48</v>
      </c>
      <c r="G33" s="15">
        <v>2952.2</v>
      </c>
      <c r="H33" s="16">
        <v>3.6200460673396107</v>
      </c>
      <c r="I33" s="17">
        <v>13639.3</v>
      </c>
    </row>
    <row r="34" spans="1:9" ht="12.75">
      <c r="A34" s="8" t="s">
        <v>86</v>
      </c>
      <c r="B34" s="29" t="s">
        <v>151</v>
      </c>
      <c r="C34" s="15">
        <v>15091.1</v>
      </c>
      <c r="D34" s="16">
        <v>-0.2876132289892718</v>
      </c>
      <c r="E34" s="15">
        <v>10750.7</v>
      </c>
      <c r="F34" s="16">
        <v>-0.2823211511808534</v>
      </c>
      <c r="G34" s="15">
        <v>7715.55</v>
      </c>
      <c r="H34" s="16">
        <v>0.5625846504785791</v>
      </c>
      <c r="I34" s="17">
        <v>12056.2</v>
      </c>
    </row>
    <row r="35" spans="1:9" ht="12.75">
      <c r="A35" s="51" t="s">
        <v>88</v>
      </c>
      <c r="B35" s="52" t="s">
        <v>152</v>
      </c>
      <c r="C35" s="24">
        <v>112842.20000000001</v>
      </c>
      <c r="D35" s="54">
        <v>-0.05369445118936013</v>
      </c>
      <c r="E35" s="24">
        <v>106783.2</v>
      </c>
      <c r="F35" s="54">
        <v>0.0015437821679815348</v>
      </c>
      <c r="G35" s="24">
        <v>106948.05</v>
      </c>
      <c r="H35" s="54">
        <v>0.2326283648930486</v>
      </c>
      <c r="I35" s="26">
        <v>131827.2</v>
      </c>
    </row>
    <row r="36" spans="1:9" ht="12.75">
      <c r="A36" s="8" t="s">
        <v>90</v>
      </c>
      <c r="B36" s="29" t="s">
        <v>153</v>
      </c>
      <c r="C36" s="15">
        <v>4447.1</v>
      </c>
      <c r="D36" s="16">
        <v>-0.9685412965752963</v>
      </c>
      <c r="E36" s="15">
        <v>139.9</v>
      </c>
      <c r="F36" s="16">
        <v>14.733002144388848</v>
      </c>
      <c r="G36" s="15">
        <v>2201.047</v>
      </c>
      <c r="H36" s="16">
        <v>-0.6433515504212314</v>
      </c>
      <c r="I36" s="17">
        <v>785</v>
      </c>
    </row>
    <row r="37" spans="1:9" ht="12.75">
      <c r="A37" s="8" t="s">
        <v>92</v>
      </c>
      <c r="B37" s="29" t="s">
        <v>154</v>
      </c>
      <c r="C37" s="15">
        <v>31817</v>
      </c>
      <c r="D37" s="16">
        <v>0.45038815727441306</v>
      </c>
      <c r="E37" s="15">
        <v>46147</v>
      </c>
      <c r="F37" s="16">
        <v>-0.09493659392809926</v>
      </c>
      <c r="G37" s="15">
        <v>41765.961</v>
      </c>
      <c r="H37" s="16">
        <v>0.6236092352813335</v>
      </c>
      <c r="I37" s="17">
        <v>67811.6</v>
      </c>
    </row>
    <row r="38" spans="1:9" ht="12.75">
      <c r="A38" s="51" t="s">
        <v>94</v>
      </c>
      <c r="B38" s="52" t="s">
        <v>155</v>
      </c>
      <c r="C38" s="24">
        <v>36264.1</v>
      </c>
      <c r="D38" s="54">
        <v>0.27638353081973643</v>
      </c>
      <c r="E38" s="24">
        <v>46286.9</v>
      </c>
      <c r="F38" s="54">
        <v>-0.003561482838556882</v>
      </c>
      <c r="G38" s="24">
        <v>46122.05</v>
      </c>
      <c r="H38" s="54">
        <v>0.48728428159632975</v>
      </c>
      <c r="I38" s="26">
        <v>68596.6</v>
      </c>
    </row>
    <row r="39" spans="1:9" ht="12.75">
      <c r="A39" s="36" t="s">
        <v>96</v>
      </c>
      <c r="B39" s="37" t="s">
        <v>4</v>
      </c>
      <c r="C39" s="38">
        <v>76578.1</v>
      </c>
      <c r="D39" s="39">
        <v>-0.2100052103669327</v>
      </c>
      <c r="E39" s="38">
        <v>60496.299999999996</v>
      </c>
      <c r="F39" s="39">
        <v>0.005449920077756894</v>
      </c>
      <c r="G39" s="38">
        <v>60826</v>
      </c>
      <c r="H39" s="39">
        <v>0.03953243678690044</v>
      </c>
      <c r="I39" s="40">
        <v>63230.600000000006</v>
      </c>
    </row>
    <row r="40" spans="1:9" ht="12.75">
      <c r="A40" s="131" t="s">
        <v>0</v>
      </c>
      <c r="B40" s="29" t="s">
        <v>156</v>
      </c>
      <c r="C40" s="15">
        <v>76527.90000000033</v>
      </c>
      <c r="D40" s="16">
        <v>-0.4400852499545904</v>
      </c>
      <c r="E40" s="15">
        <v>42849.10000000028</v>
      </c>
      <c r="F40" s="16">
        <v>0.5049613410783432</v>
      </c>
      <c r="G40" s="15">
        <v>64486.23900000046</v>
      </c>
      <c r="H40" s="16">
        <v>-0.3131742572240934</v>
      </c>
      <c r="I40" s="17">
        <v>44290.80899999995</v>
      </c>
    </row>
    <row r="41" spans="1:9" ht="12.75">
      <c r="A41" s="131" t="s">
        <v>0</v>
      </c>
      <c r="B41" s="29" t="s">
        <v>157</v>
      </c>
      <c r="C41" s="15">
        <v>-50.19999999967695</v>
      </c>
      <c r="D41" s="16">
        <v>350.53784860783423</v>
      </c>
      <c r="E41" s="15">
        <v>-17647.199999999713</v>
      </c>
      <c r="F41" s="16">
        <v>-1.2074118840382904</v>
      </c>
      <c r="G41" s="15">
        <v>3660.23900000046</v>
      </c>
      <c r="H41" s="16">
        <v>-6.174468388539021</v>
      </c>
      <c r="I41" s="17">
        <v>-18939.791000000056</v>
      </c>
    </row>
    <row r="42" spans="1:9" ht="12.75">
      <c r="A42" s="141" t="s">
        <v>0</v>
      </c>
      <c r="B42" s="31" t="s">
        <v>158</v>
      </c>
      <c r="C42" s="20">
        <v>1912467.4</v>
      </c>
      <c r="D42" s="129">
        <v>0.03227302070613078</v>
      </c>
      <c r="E42" s="20">
        <v>1974188.5</v>
      </c>
      <c r="F42" s="129">
        <v>-0.00492052911867339</v>
      </c>
      <c r="G42" s="20">
        <v>1964474.4479999999</v>
      </c>
      <c r="H42" s="129">
        <v>0.042961762157773926</v>
      </c>
      <c r="I42" s="21">
        <v>2048871.732</v>
      </c>
    </row>
    <row r="43" spans="1:9" ht="12.75">
      <c r="A43" s="141" t="s">
        <v>0</v>
      </c>
      <c r="B43" s="31" t="s">
        <v>6</v>
      </c>
      <c r="C43" s="66">
        <v>0.9993444601002156</v>
      </c>
      <c r="D43" s="142">
        <v>0</v>
      </c>
      <c r="E43" s="41">
        <v>0.7082929038635468</v>
      </c>
      <c r="F43" s="142">
        <v>0</v>
      </c>
      <c r="G43" s="41">
        <v>1.0601755663696522</v>
      </c>
      <c r="H43" s="142">
        <v>0</v>
      </c>
      <c r="I43" s="42">
        <v>0.7004647907816777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3">
      <selection activeCell="A1" sqref="A1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3" width="10.28125" style="0" customWidth="1"/>
    <col min="4" max="4" width="9.140625" style="0" customWidth="1"/>
    <col min="5" max="5" width="9.8515625" style="0" customWidth="1"/>
    <col min="6" max="6" width="10.421875" style="0" customWidth="1"/>
    <col min="7" max="7" width="10.28125" style="0" customWidth="1"/>
    <col min="8" max="8" width="10.140625" style="0" customWidth="1"/>
    <col min="9" max="9" width="11.28125" style="0" customWidth="1"/>
  </cols>
  <sheetData>
    <row r="1" spans="1:9" ht="12.75">
      <c r="A1" s="5" t="s">
        <v>20</v>
      </c>
      <c r="B1" s="6" t="s">
        <v>178</v>
      </c>
      <c r="C1" s="57" t="s">
        <v>115</v>
      </c>
      <c r="D1" s="7" t="s">
        <v>23</v>
      </c>
      <c r="E1" s="57" t="s">
        <v>105</v>
      </c>
      <c r="F1" s="7" t="s">
        <v>23</v>
      </c>
      <c r="G1" s="57" t="s">
        <v>115</v>
      </c>
      <c r="H1" s="7" t="s">
        <v>23</v>
      </c>
      <c r="I1" s="58" t="s">
        <v>105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116</v>
      </c>
      <c r="C3" s="133">
        <v>0</v>
      </c>
      <c r="D3" s="132">
        <v>0</v>
      </c>
      <c r="E3" s="133" t="s">
        <v>103</v>
      </c>
      <c r="F3" s="134">
        <v>0</v>
      </c>
      <c r="G3" s="135">
        <v>0</v>
      </c>
      <c r="H3" s="134">
        <v>0</v>
      </c>
      <c r="I3" s="115" t="s">
        <v>103</v>
      </c>
    </row>
    <row r="4" spans="1:9" ht="12.75">
      <c r="A4" s="5" t="s">
        <v>28</v>
      </c>
      <c r="B4" s="9" t="s">
        <v>117</v>
      </c>
      <c r="C4" s="10">
        <v>2141209.08140047</v>
      </c>
      <c r="D4" s="11">
        <v>0.01734554972802469</v>
      </c>
      <c r="E4" s="10">
        <v>2178349.53</v>
      </c>
      <c r="F4" s="11">
        <v>-0.004088269525781615</v>
      </c>
      <c r="G4" s="10">
        <v>2169443.85</v>
      </c>
      <c r="H4" s="11">
        <v>0.031741743854951925</v>
      </c>
      <c r="I4" s="12">
        <v>2238305.780994401</v>
      </c>
    </row>
    <row r="5" spans="1:9" ht="12.75">
      <c r="A5" s="13" t="s">
        <v>30</v>
      </c>
      <c r="B5" s="14" t="s">
        <v>118</v>
      </c>
      <c r="C5" s="15">
        <v>418735.050719972</v>
      </c>
      <c r="D5" s="16">
        <v>0.05704035819060414</v>
      </c>
      <c r="E5" s="15">
        <v>442619.848</v>
      </c>
      <c r="F5" s="16">
        <v>-0.025125800504093108</v>
      </c>
      <c r="G5" s="15">
        <v>431498.67</v>
      </c>
      <c r="H5" s="16">
        <v>0.020856050379019726</v>
      </c>
      <c r="I5" s="17">
        <v>440498.028</v>
      </c>
    </row>
    <row r="6" spans="1:9" ht="12.75">
      <c r="A6" s="13" t="s">
        <v>119</v>
      </c>
      <c r="B6" s="14" t="s">
        <v>120</v>
      </c>
      <c r="C6" s="15">
        <v>71975.84745</v>
      </c>
      <c r="D6" s="16">
        <v>0.0749223627237751</v>
      </c>
      <c r="E6" s="15">
        <v>77368.448</v>
      </c>
      <c r="F6" s="16">
        <v>-0.03912613059008237</v>
      </c>
      <c r="G6" s="15">
        <v>74341.32</v>
      </c>
      <c r="H6" s="16">
        <v>0.0866845651920089</v>
      </c>
      <c r="I6" s="17">
        <v>80785.565</v>
      </c>
    </row>
    <row r="7" spans="1:9" ht="12.75">
      <c r="A7" s="13" t="s">
        <v>34</v>
      </c>
      <c r="B7" s="14" t="s">
        <v>121</v>
      </c>
      <c r="C7" s="15">
        <v>300327.18201</v>
      </c>
      <c r="D7" s="16">
        <v>-0.05806394843547445</v>
      </c>
      <c r="E7" s="15">
        <v>282889</v>
      </c>
      <c r="F7" s="16">
        <v>0.01023150422957416</v>
      </c>
      <c r="G7" s="15">
        <v>285783.38</v>
      </c>
      <c r="H7" s="16">
        <v>-0.08181562202812488</v>
      </c>
      <c r="I7" s="17">
        <v>262401.835</v>
      </c>
    </row>
    <row r="8" spans="1:9" ht="12.75">
      <c r="A8" s="13" t="s">
        <v>179</v>
      </c>
      <c r="B8" s="14" t="s">
        <v>180</v>
      </c>
      <c r="C8" s="15">
        <v>249930.29418</v>
      </c>
      <c r="D8" s="16">
        <v>-0.4955000456679733</v>
      </c>
      <c r="E8" s="15">
        <v>126089.822</v>
      </c>
      <c r="F8" s="16">
        <v>0.2707428518695188</v>
      </c>
      <c r="G8" s="15">
        <v>160227.74</v>
      </c>
      <c r="H8" s="16">
        <v>3.4009367603886815</v>
      </c>
      <c r="I8" s="17">
        <v>705152.151</v>
      </c>
    </row>
    <row r="9" spans="1:9" ht="12.75">
      <c r="A9" s="13" t="s">
        <v>181</v>
      </c>
      <c r="B9" s="14" t="s">
        <v>123</v>
      </c>
      <c r="C9" s="15">
        <v>692589.27728</v>
      </c>
      <c r="D9" s="16">
        <v>-0.26978135297416866</v>
      </c>
      <c r="E9" s="15">
        <v>505741.605</v>
      </c>
      <c r="F9" s="16">
        <v>1.7849275323116827</v>
      </c>
      <c r="G9" s="15">
        <v>1408453.7199999997</v>
      </c>
      <c r="H9" s="16">
        <v>-0.5325457949729437</v>
      </c>
      <c r="I9" s="17">
        <v>658387.614</v>
      </c>
    </row>
    <row r="10" spans="1:9" ht="12.75">
      <c r="A10" s="13" t="s">
        <v>40</v>
      </c>
      <c r="B10" s="14" t="s">
        <v>124</v>
      </c>
      <c r="C10" s="15">
        <v>4493873.13488</v>
      </c>
      <c r="D10" s="16">
        <v>-0.007744909977510873</v>
      </c>
      <c r="E10" s="15">
        <v>4459068.492</v>
      </c>
      <c r="F10" s="16">
        <v>0.05404598929852011</v>
      </c>
      <c r="G10" s="15">
        <v>4700063.26</v>
      </c>
      <c r="H10" s="16">
        <v>-0.032887918193679824</v>
      </c>
      <c r="I10" s="17">
        <v>4545487.964</v>
      </c>
    </row>
    <row r="11" spans="1:9" ht="12.75">
      <c r="A11" s="13" t="s">
        <v>125</v>
      </c>
      <c r="B11" s="14" t="s">
        <v>126</v>
      </c>
      <c r="C11" s="15">
        <v>1756135.86153</v>
      </c>
      <c r="D11" s="43">
        <v>0.0044356838446503784</v>
      </c>
      <c r="E11" s="15">
        <v>1763925.525</v>
      </c>
      <c r="F11" s="16">
        <v>-0.0010725537859654223</v>
      </c>
      <c r="G11" s="15">
        <v>1762033.62</v>
      </c>
      <c r="H11" s="16">
        <v>0.09213156330127217</v>
      </c>
      <c r="I11" s="17">
        <v>1924372.532</v>
      </c>
    </row>
    <row r="12" spans="1:9" ht="12.75">
      <c r="A12" s="13" t="s">
        <v>127</v>
      </c>
      <c r="B12" s="14" t="s">
        <v>128</v>
      </c>
      <c r="C12" s="15">
        <v>32700.8008</v>
      </c>
      <c r="D12" s="43">
        <v>0.0753649188921392</v>
      </c>
      <c r="E12" s="15">
        <v>35165.294</v>
      </c>
      <c r="F12" s="16">
        <v>-0.0034256503016866554</v>
      </c>
      <c r="G12" s="15">
        <v>35044.83</v>
      </c>
      <c r="H12" s="16">
        <v>-0.08102944143258793</v>
      </c>
      <c r="I12" s="17">
        <v>32205.167</v>
      </c>
    </row>
    <row r="13" spans="1:9" ht="12.75">
      <c r="A13" s="13" t="s">
        <v>129</v>
      </c>
      <c r="B13" s="14" t="s">
        <v>130</v>
      </c>
      <c r="C13" s="15">
        <v>553617.1991</v>
      </c>
      <c r="D13" s="43">
        <v>0.10689795764331052</v>
      </c>
      <c r="E13" s="15">
        <v>612797.747</v>
      </c>
      <c r="F13" s="43">
        <v>-0.024650477378468535</v>
      </c>
      <c r="G13" s="15">
        <v>597691.99</v>
      </c>
      <c r="H13" s="43">
        <v>-0.2447289280219399</v>
      </c>
      <c r="I13" s="17">
        <v>451419.47</v>
      </c>
    </row>
    <row r="14" spans="1:9" ht="12.75">
      <c r="A14" s="13" t="s">
        <v>131</v>
      </c>
      <c r="B14" s="14" t="s">
        <v>132</v>
      </c>
      <c r="C14" s="15">
        <v>208134.88082</v>
      </c>
      <c r="D14" s="43">
        <v>-0.9985586269883353</v>
      </c>
      <c r="E14" s="15">
        <v>300</v>
      </c>
      <c r="F14" s="16">
        <v>788.6705333333333</v>
      </c>
      <c r="G14" s="15">
        <v>236901.16</v>
      </c>
      <c r="H14" s="16">
        <v>-0.9987336490880838</v>
      </c>
      <c r="I14" s="17">
        <v>300</v>
      </c>
    </row>
    <row r="15" spans="1:9" ht="12.75">
      <c r="A15" s="13" t="s">
        <v>133</v>
      </c>
      <c r="B15" s="14" t="s">
        <v>134</v>
      </c>
      <c r="C15" s="15">
        <v>0</v>
      </c>
      <c r="D15" s="43" t="s">
        <v>48</v>
      </c>
      <c r="E15" s="15">
        <v>75</v>
      </c>
      <c r="F15" s="16">
        <v>-1</v>
      </c>
      <c r="G15" s="15">
        <v>0</v>
      </c>
      <c r="H15" s="16" t="s">
        <v>48</v>
      </c>
      <c r="I15" s="17">
        <v>0</v>
      </c>
    </row>
    <row r="16" spans="1:9" ht="12.75">
      <c r="A16" s="13" t="s">
        <v>135</v>
      </c>
      <c r="B16" s="14" t="s">
        <v>136</v>
      </c>
      <c r="C16" s="15">
        <v>4744.43495</v>
      </c>
      <c r="D16" s="43">
        <v>3.725873625899329</v>
      </c>
      <c r="E16" s="15">
        <v>22421.6</v>
      </c>
      <c r="F16" s="43">
        <v>0.17603694651585983</v>
      </c>
      <c r="G16" s="15">
        <v>26368.63</v>
      </c>
      <c r="H16" s="43">
        <v>-0.1248767948884717</v>
      </c>
      <c r="I16" s="17">
        <v>23075.8</v>
      </c>
    </row>
    <row r="17" spans="1:9" ht="12.75">
      <c r="A17" s="13" t="s">
        <v>182</v>
      </c>
      <c r="B17" s="14" t="s">
        <v>183</v>
      </c>
      <c r="C17" s="15">
        <v>0</v>
      </c>
      <c r="D17" s="16" t="s">
        <v>48</v>
      </c>
      <c r="E17" s="15">
        <v>0</v>
      </c>
      <c r="F17" s="16" t="s">
        <v>48</v>
      </c>
      <c r="G17" s="15">
        <v>0</v>
      </c>
      <c r="H17" s="16" t="s">
        <v>48</v>
      </c>
      <c r="I17" s="17">
        <v>0</v>
      </c>
    </row>
    <row r="18" spans="1:9" ht="12.75">
      <c r="A18" s="13">
        <v>389</v>
      </c>
      <c r="B18" s="14" t="s">
        <v>138</v>
      </c>
      <c r="C18" s="15">
        <v>0</v>
      </c>
      <c r="D18" s="43" t="s">
        <v>48</v>
      </c>
      <c r="E18" s="15">
        <v>0</v>
      </c>
      <c r="F18" s="43" t="s">
        <v>48</v>
      </c>
      <c r="G18" s="15">
        <v>0</v>
      </c>
      <c r="H18" s="43" t="s">
        <v>48</v>
      </c>
      <c r="I18" s="17">
        <v>0</v>
      </c>
    </row>
    <row r="19" spans="1:9" ht="12.75">
      <c r="A19" s="18" t="s">
        <v>58</v>
      </c>
      <c r="B19" s="19" t="s">
        <v>139</v>
      </c>
      <c r="C19" s="20">
        <v>15092.44353</v>
      </c>
      <c r="D19" s="43">
        <v>0.10013649989783988</v>
      </c>
      <c r="E19" s="20">
        <v>16603.748</v>
      </c>
      <c r="F19" s="43">
        <v>-0.21241517276701616</v>
      </c>
      <c r="G19" s="20">
        <v>13076.86</v>
      </c>
      <c r="H19" s="43">
        <v>0.19344880957661084</v>
      </c>
      <c r="I19" s="21">
        <v>15606.563</v>
      </c>
    </row>
    <row r="20" spans="1:9" ht="12.75">
      <c r="A20" s="22" t="s">
        <v>60</v>
      </c>
      <c r="B20" s="23" t="s">
        <v>140</v>
      </c>
      <c r="C20" s="24">
        <v>8311756.464000441</v>
      </c>
      <c r="D20" s="25">
        <v>-0.03614090719590977</v>
      </c>
      <c r="E20" s="24">
        <v>8011362.044999998</v>
      </c>
      <c r="F20" s="25">
        <v>0.1444430333444009</v>
      </c>
      <c r="G20" s="24">
        <v>9168547.48</v>
      </c>
      <c r="H20" s="25">
        <v>-0.033015866980666025</v>
      </c>
      <c r="I20" s="26">
        <v>8865839.9359944</v>
      </c>
    </row>
    <row r="21" spans="1:9" ht="12.75">
      <c r="A21" s="27" t="s">
        <v>62</v>
      </c>
      <c r="B21" s="28" t="s">
        <v>141</v>
      </c>
      <c r="C21" s="10">
        <v>5411413.08859</v>
      </c>
      <c r="D21" s="16">
        <v>-0.021420114615608138</v>
      </c>
      <c r="E21" s="10">
        <v>5295500</v>
      </c>
      <c r="F21" s="16">
        <v>0.0856012272684354</v>
      </c>
      <c r="G21" s="10">
        <v>5748801.299</v>
      </c>
      <c r="H21" s="16">
        <v>-0.025369733865278864</v>
      </c>
      <c r="I21" s="12">
        <v>5602955.74</v>
      </c>
    </row>
    <row r="22" spans="1:9" ht="12.75">
      <c r="A22" s="8" t="s">
        <v>64</v>
      </c>
      <c r="B22" s="29" t="s">
        <v>142</v>
      </c>
      <c r="C22" s="15">
        <v>226186.02476</v>
      </c>
      <c r="D22" s="16">
        <v>0.026127366826799225</v>
      </c>
      <c r="E22" s="15">
        <v>232095.67</v>
      </c>
      <c r="F22" s="16">
        <v>0.015545313706196977</v>
      </c>
      <c r="G22" s="15">
        <v>235703.66999999998</v>
      </c>
      <c r="H22" s="16">
        <v>-0.003165712269138549</v>
      </c>
      <c r="I22" s="17">
        <v>234957.5</v>
      </c>
    </row>
    <row r="23" spans="1:9" ht="12.75">
      <c r="A23" s="8" t="s">
        <v>66</v>
      </c>
      <c r="B23" s="29" t="s">
        <v>143</v>
      </c>
      <c r="C23" s="15">
        <v>662501.23064</v>
      </c>
      <c r="D23" s="16">
        <v>-0.29685346916263655</v>
      </c>
      <c r="E23" s="15">
        <v>465835.442</v>
      </c>
      <c r="F23" s="16">
        <v>0.08816784704844344</v>
      </c>
      <c r="G23" s="15">
        <v>506907.15</v>
      </c>
      <c r="H23" s="16">
        <v>-0.022486662498250463</v>
      </c>
      <c r="I23" s="17">
        <v>495508.5</v>
      </c>
    </row>
    <row r="24" spans="1:9" ht="12.75">
      <c r="A24" s="8" t="s">
        <v>184</v>
      </c>
      <c r="B24" s="29" t="s">
        <v>185</v>
      </c>
      <c r="C24" s="15">
        <v>865361.36645</v>
      </c>
      <c r="D24" s="16">
        <v>-0.25918153865603505</v>
      </c>
      <c r="E24" s="15">
        <v>641075.676</v>
      </c>
      <c r="F24" s="16">
        <v>0.4487031637119859</v>
      </c>
      <c r="G24" s="15">
        <v>928728.36</v>
      </c>
      <c r="H24" s="16">
        <v>0.5272340127526632</v>
      </c>
      <c r="I24" s="17">
        <v>1418385.54</v>
      </c>
    </row>
    <row r="25" spans="1:9" ht="12.75">
      <c r="A25" s="8" t="s">
        <v>70</v>
      </c>
      <c r="B25" s="29" t="s">
        <v>124</v>
      </c>
      <c r="C25" s="15">
        <v>1324301.93682</v>
      </c>
      <c r="D25" s="16">
        <v>-0.23656146994111138</v>
      </c>
      <c r="E25" s="15">
        <v>1011023.124</v>
      </c>
      <c r="F25" s="16">
        <v>0.26163641535067395</v>
      </c>
      <c r="G25" s="15">
        <v>1275543.5899999999</v>
      </c>
      <c r="H25" s="16">
        <v>-0.16362239568778666</v>
      </c>
      <c r="I25" s="17">
        <v>1066836.092</v>
      </c>
    </row>
    <row r="26" spans="1:9" ht="12.75">
      <c r="A26" s="59" t="s">
        <v>72</v>
      </c>
      <c r="B26" s="29" t="s">
        <v>145</v>
      </c>
      <c r="C26" s="15">
        <v>0</v>
      </c>
      <c r="D26" s="16" t="s">
        <v>48</v>
      </c>
      <c r="E26" s="15">
        <v>0</v>
      </c>
      <c r="F26" s="16" t="s">
        <v>48</v>
      </c>
      <c r="G26" s="15">
        <v>0</v>
      </c>
      <c r="H26" s="16" t="s">
        <v>48</v>
      </c>
      <c r="I26" s="17">
        <v>0</v>
      </c>
    </row>
    <row r="27" spans="1:9" ht="12.75">
      <c r="A27" s="195">
        <v>489</v>
      </c>
      <c r="B27" s="29" t="s">
        <v>175</v>
      </c>
      <c r="C27" s="15">
        <v>0</v>
      </c>
      <c r="D27" s="16" t="s">
        <v>48</v>
      </c>
      <c r="E27" s="15">
        <v>0</v>
      </c>
      <c r="F27" s="16" t="s">
        <v>48</v>
      </c>
      <c r="G27" s="15">
        <v>0</v>
      </c>
      <c r="H27" s="16" t="s">
        <v>48</v>
      </c>
      <c r="I27" s="17">
        <v>0</v>
      </c>
    </row>
    <row r="28" spans="1:9" ht="12.75">
      <c r="A28" s="30" t="s">
        <v>75</v>
      </c>
      <c r="B28" s="31" t="s">
        <v>139</v>
      </c>
      <c r="C28" s="20">
        <v>15092.44353</v>
      </c>
      <c r="D28" s="16">
        <v>0.10013649989783988</v>
      </c>
      <c r="E28" s="20">
        <v>16603.748</v>
      </c>
      <c r="F28" s="16">
        <v>-0.21240915003046304</v>
      </c>
      <c r="G28" s="20">
        <v>13076.96</v>
      </c>
      <c r="H28" s="16">
        <v>0.19343945381801278</v>
      </c>
      <c r="I28" s="21">
        <v>15606.56</v>
      </c>
    </row>
    <row r="29" spans="1:9" ht="12.75">
      <c r="A29" s="51" t="s">
        <v>77</v>
      </c>
      <c r="B29" s="52" t="s">
        <v>146</v>
      </c>
      <c r="C29" s="24">
        <v>8504856.09079</v>
      </c>
      <c r="D29" s="53">
        <v>-0.09908720639054595</v>
      </c>
      <c r="E29" s="24">
        <v>7662133.659999999</v>
      </c>
      <c r="F29" s="53">
        <v>0.13659737815119266</v>
      </c>
      <c r="G29" s="24">
        <v>8708761.029000001</v>
      </c>
      <c r="H29" s="54">
        <v>0.014409501257655761</v>
      </c>
      <c r="I29" s="26">
        <v>8834249.932</v>
      </c>
    </row>
    <row r="30" spans="1:9" ht="12.75">
      <c r="A30" s="50" t="s">
        <v>79</v>
      </c>
      <c r="B30" s="32" t="s">
        <v>147</v>
      </c>
      <c r="C30" s="33">
        <v>193099.62678955868</v>
      </c>
      <c r="D30" s="136">
        <v>0</v>
      </c>
      <c r="E30" s="33">
        <v>-349228.38499999885</v>
      </c>
      <c r="F30" s="136">
        <v>0</v>
      </c>
      <c r="G30" s="34">
        <v>-459786.4509999994</v>
      </c>
      <c r="H30" s="137">
        <v>0</v>
      </c>
      <c r="I30" s="35">
        <v>-31590.00399439968</v>
      </c>
    </row>
    <row r="31" spans="1:9" ht="12.75">
      <c r="A31" s="140">
        <v>0</v>
      </c>
      <c r="B31" s="28" t="s">
        <v>148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>
        <v>0</v>
      </c>
      <c r="I31" s="139">
        <v>0</v>
      </c>
    </row>
    <row r="32" spans="1:9" ht="12.75">
      <c r="A32" s="59" t="s">
        <v>82</v>
      </c>
      <c r="B32" s="29" t="s">
        <v>149</v>
      </c>
      <c r="C32" s="15">
        <v>559117.66458</v>
      </c>
      <c r="D32" s="16">
        <v>0.1472187888784232</v>
      </c>
      <c r="E32" s="15">
        <v>641430.29</v>
      </c>
      <c r="F32" s="16">
        <v>-0.2107035512775675</v>
      </c>
      <c r="G32" s="15">
        <v>506278.65</v>
      </c>
      <c r="H32" s="16">
        <v>-0.004011921103131691</v>
      </c>
      <c r="I32" s="17">
        <v>504247.5</v>
      </c>
    </row>
    <row r="33" spans="1:9" ht="12.75">
      <c r="A33" s="59" t="s">
        <v>84</v>
      </c>
      <c r="B33" s="29" t="s">
        <v>150</v>
      </c>
      <c r="C33" s="15">
        <v>33104.77288</v>
      </c>
      <c r="D33" s="16">
        <v>3.7756557815115874</v>
      </c>
      <c r="E33" s="15">
        <v>158097</v>
      </c>
      <c r="F33" s="16">
        <v>-0.4241854684149604</v>
      </c>
      <c r="G33" s="15">
        <v>91034.55</v>
      </c>
      <c r="H33" s="16">
        <v>0.3748626208401096</v>
      </c>
      <c r="I33" s="17">
        <v>125160</v>
      </c>
    </row>
    <row r="34" spans="1:9" ht="12.75">
      <c r="A34" s="8" t="s">
        <v>86</v>
      </c>
      <c r="B34" s="29" t="s">
        <v>151</v>
      </c>
      <c r="C34" s="15">
        <v>133718.64248</v>
      </c>
      <c r="D34" s="16">
        <v>0.3023363591658262</v>
      </c>
      <c r="E34" s="15">
        <v>174146.65</v>
      </c>
      <c r="F34" s="16">
        <v>-0.30551182006659333</v>
      </c>
      <c r="G34" s="15">
        <v>120942.79</v>
      </c>
      <c r="H34" s="16">
        <v>-0.11398604249166068</v>
      </c>
      <c r="I34" s="17">
        <v>107157</v>
      </c>
    </row>
    <row r="35" spans="1:9" ht="12.75">
      <c r="A35" s="51" t="s">
        <v>88</v>
      </c>
      <c r="B35" s="52" t="s">
        <v>152</v>
      </c>
      <c r="C35" s="24">
        <v>725941.07994</v>
      </c>
      <c r="D35" s="54">
        <v>0.34125753026743655</v>
      </c>
      <c r="E35" s="24">
        <v>973673.9400000001</v>
      </c>
      <c r="F35" s="54">
        <v>-0.26232390485874557</v>
      </c>
      <c r="G35" s="24">
        <v>718255.9900000001</v>
      </c>
      <c r="H35" s="54">
        <v>0.025490229465402567</v>
      </c>
      <c r="I35" s="26">
        <v>736564.5</v>
      </c>
    </row>
    <row r="36" spans="1:9" ht="12.75">
      <c r="A36" s="8" t="s">
        <v>90</v>
      </c>
      <c r="B36" s="29" t="s">
        <v>153</v>
      </c>
      <c r="C36" s="15">
        <v>6646.14151</v>
      </c>
      <c r="D36" s="16">
        <v>0.5046324224294164</v>
      </c>
      <c r="E36" s="15">
        <v>10000</v>
      </c>
      <c r="F36" s="16">
        <v>-0.389491</v>
      </c>
      <c r="G36" s="15">
        <v>6105.09</v>
      </c>
      <c r="H36" s="16">
        <v>2.2759549818266396</v>
      </c>
      <c r="I36" s="17">
        <v>20000</v>
      </c>
    </row>
    <row r="37" spans="1:9" ht="12.75">
      <c r="A37" s="8" t="s">
        <v>92</v>
      </c>
      <c r="B37" s="29" t="s">
        <v>154</v>
      </c>
      <c r="C37" s="15">
        <v>216740.63363</v>
      </c>
      <c r="D37" s="16">
        <v>-0.23614735166537582</v>
      </c>
      <c r="E37" s="15">
        <v>165557.907</v>
      </c>
      <c r="F37" s="16">
        <v>-0.2041708403573863</v>
      </c>
      <c r="G37" s="15">
        <v>131755.81</v>
      </c>
      <c r="H37" s="16">
        <v>0.18462707640748444</v>
      </c>
      <c r="I37" s="17">
        <v>156081.5</v>
      </c>
    </row>
    <row r="38" spans="1:9" ht="12.75">
      <c r="A38" s="51" t="s">
        <v>94</v>
      </c>
      <c r="B38" s="52" t="s">
        <v>155</v>
      </c>
      <c r="C38" s="24">
        <v>223386.77513999998</v>
      </c>
      <c r="D38" s="54">
        <v>-0.21410787684286536</v>
      </c>
      <c r="E38" s="24">
        <v>175557.907</v>
      </c>
      <c r="F38" s="54">
        <v>-0.21472691059138688</v>
      </c>
      <c r="G38" s="24">
        <v>137860.9</v>
      </c>
      <c r="H38" s="54">
        <v>0.2772403197715959</v>
      </c>
      <c r="I38" s="26">
        <v>176081.5</v>
      </c>
    </row>
    <row r="39" spans="1:9" ht="12.75">
      <c r="A39" s="36" t="s">
        <v>96</v>
      </c>
      <c r="B39" s="37" t="s">
        <v>4</v>
      </c>
      <c r="C39" s="38">
        <v>502554.3048</v>
      </c>
      <c r="D39" s="39">
        <v>0.5881189861016589</v>
      </c>
      <c r="E39" s="38">
        <v>798116.033</v>
      </c>
      <c r="F39" s="39">
        <v>-0.2727935964168257</v>
      </c>
      <c r="G39" s="38">
        <v>580395.0900000001</v>
      </c>
      <c r="H39" s="39">
        <v>-0.03430781952342168</v>
      </c>
      <c r="I39" s="40">
        <v>560483</v>
      </c>
    </row>
    <row r="40" spans="1:9" ht="12.75">
      <c r="A40" s="131" t="s">
        <v>0</v>
      </c>
      <c r="B40" s="29" t="s">
        <v>156</v>
      </c>
      <c r="C40" s="15">
        <v>885688.9040695587</v>
      </c>
      <c r="D40" s="16">
        <v>-0.8232864617803667</v>
      </c>
      <c r="E40" s="15">
        <v>156513.22000000114</v>
      </c>
      <c r="F40" s="16">
        <v>5.061259675061272</v>
      </c>
      <c r="G40" s="15">
        <v>948667.2690000003</v>
      </c>
      <c r="H40" s="16">
        <v>-0.33928614332155266</v>
      </c>
      <c r="I40" s="17">
        <v>626797.6100056003</v>
      </c>
    </row>
    <row r="41" spans="1:9" ht="12.75">
      <c r="A41" s="131" t="s">
        <v>0</v>
      </c>
      <c r="B41" s="29" t="s">
        <v>157</v>
      </c>
      <c r="C41" s="15">
        <v>383134.59926955873</v>
      </c>
      <c r="D41" s="16">
        <v>-2.674614650368843</v>
      </c>
      <c r="E41" s="15">
        <v>-641602.8129999989</v>
      </c>
      <c r="F41" s="16">
        <v>-1.5739877873633963</v>
      </c>
      <c r="G41" s="15">
        <v>368272.17900000024</v>
      </c>
      <c r="H41" s="16">
        <v>-0.8199304379014734</v>
      </c>
      <c r="I41" s="17">
        <v>66314.61000560026</v>
      </c>
    </row>
    <row r="42" spans="1:9" ht="12.75">
      <c r="A42" s="141" t="s">
        <v>0</v>
      </c>
      <c r="B42" s="31" t="s">
        <v>158</v>
      </c>
      <c r="C42" s="20">
        <v>8080085.528950442</v>
      </c>
      <c r="D42" s="129">
        <v>0.031746604677695175</v>
      </c>
      <c r="E42" s="20">
        <v>8336600.809999997</v>
      </c>
      <c r="F42" s="129">
        <v>-0.00378519503562465</v>
      </c>
      <c r="G42" s="20">
        <v>8305045.15</v>
      </c>
      <c r="H42" s="129">
        <v>-0.009847874458045702</v>
      </c>
      <c r="I42" s="21">
        <v>8223258.107994399</v>
      </c>
    </row>
    <row r="43" spans="1:9" ht="12.75">
      <c r="A43" s="141" t="s">
        <v>0</v>
      </c>
      <c r="B43" s="31" t="s">
        <v>6</v>
      </c>
      <c r="C43" s="66">
        <v>1.5277764406186043</v>
      </c>
      <c r="D43" s="142">
        <v>0</v>
      </c>
      <c r="E43" s="41">
        <v>0.34104961975258485</v>
      </c>
      <c r="F43" s="142">
        <v>0</v>
      </c>
      <c r="G43" s="41">
        <v>1.5127310932694067</v>
      </c>
      <c r="H43" s="142">
        <v>0</v>
      </c>
      <c r="I43" s="42">
        <v>1.0900323189694865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3.8515625" style="0" customWidth="1"/>
    <col min="4" max="4" width="7.7109375" style="0" customWidth="1"/>
    <col min="6" max="6" width="7.28125" style="0" customWidth="1"/>
    <col min="8" max="8" width="6.8515625" style="0" customWidth="1"/>
  </cols>
  <sheetData>
    <row r="1" spans="1:9" ht="12.75">
      <c r="A1" s="5" t="s">
        <v>20</v>
      </c>
      <c r="B1" s="6" t="s">
        <v>186</v>
      </c>
      <c r="C1" s="57" t="s">
        <v>115</v>
      </c>
      <c r="D1" s="7" t="s">
        <v>23</v>
      </c>
      <c r="E1" s="57" t="s">
        <v>105</v>
      </c>
      <c r="F1" s="7" t="s">
        <v>23</v>
      </c>
      <c r="G1" s="57" t="s">
        <v>22</v>
      </c>
      <c r="H1" s="7" t="s">
        <v>23</v>
      </c>
      <c r="I1" s="58" t="s">
        <v>105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116</v>
      </c>
      <c r="C3" s="133">
        <v>0</v>
      </c>
      <c r="D3" s="132">
        <v>0</v>
      </c>
      <c r="E3" s="133" t="s">
        <v>187</v>
      </c>
      <c r="F3" s="134">
        <v>0</v>
      </c>
      <c r="G3" s="135" t="s">
        <v>187</v>
      </c>
      <c r="H3" s="134">
        <v>0</v>
      </c>
      <c r="I3" s="115" t="s">
        <v>187</v>
      </c>
    </row>
    <row r="4" spans="1:9" ht="12.75">
      <c r="A4" s="5" t="s">
        <v>28</v>
      </c>
      <c r="B4" s="9" t="s">
        <v>117</v>
      </c>
      <c r="C4" s="10">
        <v>240462.74706</v>
      </c>
      <c r="D4" s="11"/>
      <c r="E4" s="10"/>
      <c r="F4" s="11"/>
      <c r="G4" s="10"/>
      <c r="H4" s="11"/>
      <c r="I4" s="12"/>
    </row>
    <row r="5" spans="1:9" ht="12.75">
      <c r="A5" s="13" t="s">
        <v>30</v>
      </c>
      <c r="B5" s="14" t="s">
        <v>118</v>
      </c>
      <c r="C5" s="15">
        <v>56298.33224</v>
      </c>
      <c r="D5" s="16"/>
      <c r="E5" s="15"/>
      <c r="F5" s="16"/>
      <c r="G5" s="15"/>
      <c r="H5" s="16"/>
      <c r="I5" s="17"/>
    </row>
    <row r="6" spans="1:9" ht="12.75">
      <c r="A6" s="13" t="s">
        <v>119</v>
      </c>
      <c r="B6" s="14" t="s">
        <v>120</v>
      </c>
      <c r="C6" s="15">
        <v>6934.8788</v>
      </c>
      <c r="D6" s="16"/>
      <c r="E6" s="15"/>
      <c r="F6" s="16"/>
      <c r="G6" s="15"/>
      <c r="H6" s="16"/>
      <c r="I6" s="17"/>
    </row>
    <row r="7" spans="1:9" ht="12.75">
      <c r="A7" s="13" t="s">
        <v>34</v>
      </c>
      <c r="B7" s="14" t="s">
        <v>121</v>
      </c>
      <c r="C7" s="15">
        <v>8162.15336</v>
      </c>
      <c r="D7" s="16"/>
      <c r="E7" s="15"/>
      <c r="F7" s="16"/>
      <c r="G7" s="15"/>
      <c r="H7" s="16"/>
      <c r="I7" s="17"/>
    </row>
    <row r="8" spans="1:9" ht="12.75">
      <c r="A8" s="13" t="s">
        <v>36</v>
      </c>
      <c r="B8" s="14" t="s">
        <v>122</v>
      </c>
      <c r="C8" s="15">
        <v>4609.61146</v>
      </c>
      <c r="D8" s="16"/>
      <c r="E8" s="15"/>
      <c r="F8" s="16"/>
      <c r="G8" s="15"/>
      <c r="H8" s="16"/>
      <c r="I8" s="17"/>
    </row>
    <row r="9" spans="1:9" ht="12.75">
      <c r="A9" s="13" t="s">
        <v>38</v>
      </c>
      <c r="B9" s="14" t="s">
        <v>123</v>
      </c>
      <c r="C9" s="15">
        <v>38712.55259</v>
      </c>
      <c r="D9" s="16"/>
      <c r="E9" s="15"/>
      <c r="F9" s="16"/>
      <c r="G9" s="15"/>
      <c r="H9" s="16"/>
      <c r="I9" s="17"/>
    </row>
    <row r="10" spans="1:9" ht="12.75">
      <c r="A10" s="13" t="s">
        <v>40</v>
      </c>
      <c r="B10" s="14" t="s">
        <v>124</v>
      </c>
      <c r="C10" s="15">
        <v>467128.09274999995</v>
      </c>
      <c r="D10" s="16"/>
      <c r="E10" s="15"/>
      <c r="F10" s="16"/>
      <c r="G10" s="15"/>
      <c r="H10" s="16"/>
      <c r="I10" s="17"/>
    </row>
    <row r="11" spans="1:9" ht="12.75">
      <c r="A11" s="13" t="s">
        <v>125</v>
      </c>
      <c r="B11" s="14" t="s">
        <v>126</v>
      </c>
      <c r="C11" s="15">
        <v>3645.4562</v>
      </c>
      <c r="D11" s="43"/>
      <c r="E11" s="15"/>
      <c r="F11" s="16"/>
      <c r="G11" s="15"/>
      <c r="H11" s="16"/>
      <c r="I11" s="17"/>
    </row>
    <row r="12" spans="1:9" ht="12.75">
      <c r="A12" s="13" t="s">
        <v>127</v>
      </c>
      <c r="B12" s="14" t="s">
        <v>128</v>
      </c>
      <c r="C12" s="15">
        <v>129470.55305</v>
      </c>
      <c r="D12" s="43"/>
      <c r="E12" s="15"/>
      <c r="F12" s="16"/>
      <c r="G12" s="15"/>
      <c r="H12" s="16"/>
      <c r="I12" s="17"/>
    </row>
    <row r="13" spans="1:9" ht="12.75">
      <c r="A13" s="13" t="s">
        <v>129</v>
      </c>
      <c r="B13" s="14" t="s">
        <v>130</v>
      </c>
      <c r="C13" s="15">
        <v>23617.61225</v>
      </c>
      <c r="D13" s="43"/>
      <c r="E13" s="15"/>
      <c r="F13" s="43"/>
      <c r="G13" s="15"/>
      <c r="H13" s="43"/>
      <c r="I13" s="17"/>
    </row>
    <row r="14" spans="1:9" ht="12.75">
      <c r="A14" s="13" t="s">
        <v>131</v>
      </c>
      <c r="B14" s="14" t="s">
        <v>132</v>
      </c>
      <c r="C14" s="15">
        <v>0</v>
      </c>
      <c r="D14" s="43"/>
      <c r="E14" s="15"/>
      <c r="F14" s="16"/>
      <c r="G14" s="15"/>
      <c r="H14" s="16"/>
      <c r="I14" s="17"/>
    </row>
    <row r="15" spans="1:9" ht="12.75">
      <c r="A15" s="13" t="s">
        <v>133</v>
      </c>
      <c r="B15" s="14" t="s">
        <v>134</v>
      </c>
      <c r="C15" s="15">
        <v>1004.6534</v>
      </c>
      <c r="D15" s="43"/>
      <c r="E15" s="15"/>
      <c r="F15" s="16"/>
      <c r="G15" s="15"/>
      <c r="H15" s="16"/>
      <c r="I15" s="17"/>
    </row>
    <row r="16" spans="1:9" ht="12.75">
      <c r="A16" s="13" t="s">
        <v>135</v>
      </c>
      <c r="B16" s="14" t="s">
        <v>136</v>
      </c>
      <c r="C16" s="15">
        <v>101284.68955</v>
      </c>
      <c r="D16" s="43"/>
      <c r="E16" s="15"/>
      <c r="F16" s="43"/>
      <c r="G16" s="15"/>
      <c r="H16" s="43"/>
      <c r="I16" s="17"/>
    </row>
    <row r="17" spans="1:9" ht="12.75">
      <c r="A17" s="13" t="s">
        <v>55</v>
      </c>
      <c r="B17" s="14" t="s">
        <v>137</v>
      </c>
      <c r="C17" s="15">
        <v>842.2066</v>
      </c>
      <c r="D17" s="16"/>
      <c r="E17" s="15"/>
      <c r="F17" s="16"/>
      <c r="G17" s="15"/>
      <c r="H17" s="16"/>
      <c r="I17" s="17"/>
    </row>
    <row r="18" spans="1:9" ht="12.75">
      <c r="A18" s="13">
        <v>389</v>
      </c>
      <c r="B18" s="14" t="s">
        <v>138</v>
      </c>
      <c r="C18" s="15">
        <v>0</v>
      </c>
      <c r="D18" s="43"/>
      <c r="E18" s="15"/>
      <c r="F18" s="43"/>
      <c r="G18" s="15"/>
      <c r="H18" s="43"/>
      <c r="I18" s="17"/>
    </row>
    <row r="19" spans="1:9" ht="12.75">
      <c r="A19" s="18" t="s">
        <v>58</v>
      </c>
      <c r="B19" s="19" t="s">
        <v>139</v>
      </c>
      <c r="C19" s="20">
        <v>455.8747</v>
      </c>
      <c r="D19" s="43"/>
      <c r="E19" s="20"/>
      <c r="F19" s="43"/>
      <c r="G19" s="20"/>
      <c r="H19" s="43"/>
      <c r="I19" s="21"/>
    </row>
    <row r="20" spans="1:9" ht="12.75">
      <c r="A20" s="22" t="s">
        <v>60</v>
      </c>
      <c r="B20" s="23" t="s">
        <v>140</v>
      </c>
      <c r="C20" s="24">
        <v>816671.5707599999</v>
      </c>
      <c r="D20" s="25"/>
      <c r="E20" s="24"/>
      <c r="F20" s="25"/>
      <c r="G20" s="24"/>
      <c r="H20" s="25"/>
      <c r="I20" s="26"/>
    </row>
    <row r="21" spans="1:9" ht="12.75">
      <c r="A21" s="27" t="s">
        <v>62</v>
      </c>
      <c r="B21" s="28" t="s">
        <v>141</v>
      </c>
      <c r="C21" s="10">
        <v>260389.03154999999</v>
      </c>
      <c r="D21" s="16"/>
      <c r="E21" s="10"/>
      <c r="F21" s="16"/>
      <c r="G21" s="10"/>
      <c r="H21" s="16"/>
      <c r="I21" s="12"/>
    </row>
    <row r="22" spans="1:9" ht="12.75">
      <c r="A22" s="8" t="s">
        <v>64</v>
      </c>
      <c r="B22" s="29" t="s">
        <v>142</v>
      </c>
      <c r="C22" s="15">
        <v>29263.8135</v>
      </c>
      <c r="D22" s="16"/>
      <c r="E22" s="15"/>
      <c r="F22" s="16"/>
      <c r="G22" s="15"/>
      <c r="H22" s="16"/>
      <c r="I22" s="17"/>
    </row>
    <row r="23" spans="1:9" ht="12.75">
      <c r="A23" s="8" t="s">
        <v>66</v>
      </c>
      <c r="B23" s="29" t="s">
        <v>143</v>
      </c>
      <c r="C23" s="15">
        <v>25186.87054</v>
      </c>
      <c r="D23" s="16"/>
      <c r="E23" s="15"/>
      <c r="F23" s="16"/>
      <c r="G23" s="15"/>
      <c r="H23" s="16"/>
      <c r="I23" s="17"/>
    </row>
    <row r="24" spans="1:9" ht="12.75">
      <c r="A24" s="8" t="s">
        <v>68</v>
      </c>
      <c r="B24" s="29" t="s">
        <v>144</v>
      </c>
      <c r="C24" s="15">
        <v>36782.74074</v>
      </c>
      <c r="D24" s="16"/>
      <c r="E24" s="15"/>
      <c r="F24" s="16"/>
      <c r="G24" s="15"/>
      <c r="H24" s="16"/>
      <c r="I24" s="17"/>
    </row>
    <row r="25" spans="1:9" ht="12.75">
      <c r="A25" s="8" t="s">
        <v>70</v>
      </c>
      <c r="B25" s="29" t="s">
        <v>124</v>
      </c>
      <c r="C25" s="15">
        <v>460732.46671999997</v>
      </c>
      <c r="D25" s="16"/>
      <c r="E25" s="15"/>
      <c r="F25" s="16"/>
      <c r="G25" s="15"/>
      <c r="H25" s="16"/>
      <c r="I25" s="17"/>
    </row>
    <row r="26" spans="1:9" ht="12.75">
      <c r="A26" s="59" t="s">
        <v>72</v>
      </c>
      <c r="B26" s="29" t="s">
        <v>145</v>
      </c>
      <c r="C26" s="15">
        <v>4645.38532</v>
      </c>
      <c r="D26" s="16"/>
      <c r="E26" s="15"/>
      <c r="F26" s="16"/>
      <c r="G26" s="15"/>
      <c r="H26" s="16"/>
      <c r="I26" s="17"/>
    </row>
    <row r="27" spans="1:9" ht="12.75">
      <c r="A27" s="195">
        <v>489</v>
      </c>
      <c r="B27" s="29" t="s">
        <v>175</v>
      </c>
      <c r="C27" s="15">
        <v>0</v>
      </c>
      <c r="D27" s="16"/>
      <c r="E27" s="15"/>
      <c r="F27" s="16"/>
      <c r="G27" s="15"/>
      <c r="H27" s="16"/>
      <c r="I27" s="17"/>
    </row>
    <row r="28" spans="1:9" ht="12.75">
      <c r="A28" s="30" t="s">
        <v>75</v>
      </c>
      <c r="B28" s="31" t="s">
        <v>139</v>
      </c>
      <c r="C28" s="20">
        <v>455.8747</v>
      </c>
      <c r="D28" s="16"/>
      <c r="E28" s="20"/>
      <c r="F28" s="16"/>
      <c r="G28" s="20"/>
      <c r="H28" s="16"/>
      <c r="I28" s="21"/>
    </row>
    <row r="29" spans="1:9" ht="12.75">
      <c r="A29" s="51" t="s">
        <v>77</v>
      </c>
      <c r="B29" s="52" t="s">
        <v>146</v>
      </c>
      <c r="C29" s="24">
        <v>817456.1830699999</v>
      </c>
      <c r="D29" s="53"/>
      <c r="E29" s="24"/>
      <c r="F29" s="53"/>
      <c r="G29" s="24"/>
      <c r="H29" s="54"/>
      <c r="I29" s="26"/>
    </row>
    <row r="30" spans="1:9" ht="12.75">
      <c r="A30" s="50" t="s">
        <v>79</v>
      </c>
      <c r="B30" s="32" t="s">
        <v>147</v>
      </c>
      <c r="C30" s="33">
        <v>784.6123099999968</v>
      </c>
      <c r="D30" s="136"/>
      <c r="E30" s="33"/>
      <c r="F30" s="136"/>
      <c r="G30" s="34"/>
      <c r="H30" s="137"/>
      <c r="I30" s="35"/>
    </row>
    <row r="31" spans="1:9" ht="12.75">
      <c r="A31" s="140">
        <v>0</v>
      </c>
      <c r="B31" s="28" t="s">
        <v>148</v>
      </c>
      <c r="C31" s="138">
        <v>0</v>
      </c>
      <c r="D31" s="143"/>
      <c r="E31" s="138"/>
      <c r="F31" s="143"/>
      <c r="G31" s="138"/>
      <c r="H31" s="138"/>
      <c r="I31" s="139"/>
    </row>
    <row r="32" spans="1:9" ht="12.75">
      <c r="A32" s="59" t="s">
        <v>82</v>
      </c>
      <c r="B32" s="29" t="s">
        <v>149</v>
      </c>
      <c r="C32" s="15">
        <v>38171.57438</v>
      </c>
      <c r="D32" s="16"/>
      <c r="E32" s="15"/>
      <c r="F32" s="16"/>
      <c r="G32" s="15"/>
      <c r="H32" s="16"/>
      <c r="I32" s="17"/>
    </row>
    <row r="33" spans="1:9" ht="12.75">
      <c r="A33" s="59" t="s">
        <v>84</v>
      </c>
      <c r="B33" s="29" t="s">
        <v>150</v>
      </c>
      <c r="C33" s="15">
        <v>1060.575</v>
      </c>
      <c r="D33" s="16"/>
      <c r="E33" s="15"/>
      <c r="F33" s="16"/>
      <c r="G33" s="15"/>
      <c r="H33" s="16"/>
      <c r="I33" s="17"/>
    </row>
    <row r="34" spans="1:9" ht="12.75">
      <c r="A34" s="8" t="s">
        <v>86</v>
      </c>
      <c r="B34" s="29" t="s">
        <v>151</v>
      </c>
      <c r="C34" s="15">
        <v>25689.86325</v>
      </c>
      <c r="D34" s="16"/>
      <c r="E34" s="15"/>
      <c r="F34" s="16"/>
      <c r="G34" s="15"/>
      <c r="H34" s="16"/>
      <c r="I34" s="17"/>
    </row>
    <row r="35" spans="1:9" ht="12.75">
      <c r="A35" s="51" t="s">
        <v>88</v>
      </c>
      <c r="B35" s="52" t="s">
        <v>152</v>
      </c>
      <c r="C35" s="24">
        <v>64922.01263</v>
      </c>
      <c r="D35" s="54"/>
      <c r="E35" s="24"/>
      <c r="F35" s="54"/>
      <c r="G35" s="24"/>
      <c r="H35" s="54"/>
      <c r="I35" s="26"/>
    </row>
    <row r="36" spans="1:9" ht="12.75">
      <c r="A36" s="8" t="s">
        <v>90</v>
      </c>
      <c r="B36" s="29" t="s">
        <v>153</v>
      </c>
      <c r="C36" s="15">
        <v>0</v>
      </c>
      <c r="D36" s="16"/>
      <c r="E36" s="15"/>
      <c r="F36" s="16"/>
      <c r="G36" s="15"/>
      <c r="H36" s="16"/>
      <c r="I36" s="17"/>
    </row>
    <row r="37" spans="1:9" ht="12.75">
      <c r="A37" s="8" t="s">
        <v>92</v>
      </c>
      <c r="B37" s="29" t="s">
        <v>154</v>
      </c>
      <c r="C37" s="15">
        <v>18399.0078</v>
      </c>
      <c r="D37" s="16"/>
      <c r="E37" s="15"/>
      <c r="F37" s="16"/>
      <c r="G37" s="15"/>
      <c r="H37" s="16"/>
      <c r="I37" s="17"/>
    </row>
    <row r="38" spans="1:9" ht="12.75">
      <c r="A38" s="51" t="s">
        <v>94</v>
      </c>
      <c r="B38" s="52" t="s">
        <v>155</v>
      </c>
      <c r="C38" s="24">
        <v>18399.0078</v>
      </c>
      <c r="D38" s="54"/>
      <c r="E38" s="24"/>
      <c r="F38" s="54"/>
      <c r="G38" s="24"/>
      <c r="H38" s="54"/>
      <c r="I38" s="26"/>
    </row>
    <row r="39" spans="1:9" ht="12.75">
      <c r="A39" s="36" t="s">
        <v>96</v>
      </c>
      <c r="B39" s="37" t="s">
        <v>4</v>
      </c>
      <c r="C39" s="38">
        <v>46523.00483</v>
      </c>
      <c r="D39" s="39"/>
      <c r="E39" s="38"/>
      <c r="F39" s="39"/>
      <c r="G39" s="38"/>
      <c r="H39" s="39"/>
      <c r="I39" s="40"/>
    </row>
    <row r="40" spans="1:9" ht="12.75">
      <c r="A40" s="131" t="s">
        <v>0</v>
      </c>
      <c r="B40" s="29" t="s">
        <v>156</v>
      </c>
      <c r="C40" s="15">
        <v>39497.164899999996</v>
      </c>
      <c r="D40" s="16"/>
      <c r="E40" s="15"/>
      <c r="F40" s="16"/>
      <c r="G40" s="15"/>
      <c r="H40" s="16"/>
      <c r="I40" s="17"/>
    </row>
    <row r="41" spans="1:9" ht="12.75">
      <c r="A41" s="131" t="s">
        <v>0</v>
      </c>
      <c r="B41" s="29" t="s">
        <v>157</v>
      </c>
      <c r="C41" s="15">
        <v>-7025.839930000002</v>
      </c>
      <c r="D41" s="16"/>
      <c r="E41" s="15"/>
      <c r="F41" s="16"/>
      <c r="G41" s="15"/>
      <c r="H41" s="16"/>
      <c r="I41" s="17"/>
    </row>
    <row r="42" spans="1:9" ht="12.75">
      <c r="A42" s="141" t="s">
        <v>0</v>
      </c>
      <c r="B42" s="31" t="s">
        <v>158</v>
      </c>
      <c r="C42" s="20">
        <v>836973.3380399998</v>
      </c>
      <c r="D42" s="129"/>
      <c r="E42" s="20"/>
      <c r="F42" s="129"/>
      <c r="G42" s="20"/>
      <c r="H42" s="129"/>
      <c r="I42" s="21"/>
    </row>
    <row r="43" spans="1:9" ht="12.75">
      <c r="A43" s="141" t="s">
        <v>0</v>
      </c>
      <c r="B43" s="31" t="s">
        <v>6</v>
      </c>
      <c r="C43" s="66">
        <v>0.8489813812398153</v>
      </c>
      <c r="D43" s="142"/>
      <c r="E43" s="41"/>
      <c r="F43" s="142"/>
      <c r="G43" s="41"/>
      <c r="H43" s="142"/>
      <c r="I43" s="4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86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6.7109375" style="252" customWidth="1"/>
    <col min="2" max="2" width="3.7109375" style="252" customWidth="1"/>
    <col min="3" max="3" width="39.7109375" style="252" customWidth="1"/>
    <col min="4" max="4" width="12.7109375" style="252" customWidth="1"/>
    <col min="5" max="5" width="11.421875" style="252" customWidth="1"/>
    <col min="6" max="6" width="12.7109375" style="252" customWidth="1"/>
    <col min="7" max="16384" width="11.421875" style="252" customWidth="1"/>
  </cols>
  <sheetData>
    <row r="1" spans="1:55" s="243" customFormat="1" ht="18" customHeight="1">
      <c r="A1" s="476" t="s">
        <v>220</v>
      </c>
      <c r="B1" s="477" t="s">
        <v>457</v>
      </c>
      <c r="C1" s="477" t="s">
        <v>186</v>
      </c>
      <c r="D1" s="241" t="s">
        <v>115</v>
      </c>
      <c r="E1" s="240" t="s">
        <v>105</v>
      </c>
      <c r="F1" s="241" t="s">
        <v>115</v>
      </c>
      <c r="G1" s="240" t="s">
        <v>105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7" s="249" customFormat="1" ht="15" customHeight="1">
      <c r="A2" s="244"/>
      <c r="B2" s="245"/>
      <c r="C2" s="246" t="s">
        <v>458</v>
      </c>
      <c r="D2" s="248">
        <v>2011</v>
      </c>
      <c r="E2" s="247">
        <v>2012</v>
      </c>
      <c r="F2" s="248">
        <v>2012</v>
      </c>
      <c r="G2" s="247">
        <v>2013</v>
      </c>
    </row>
    <row r="3" spans="1:7" ht="15" customHeight="1">
      <c r="A3" s="609" t="s">
        <v>459</v>
      </c>
      <c r="B3" s="610"/>
      <c r="C3" s="610"/>
      <c r="D3" s="250"/>
      <c r="F3" s="250"/>
      <c r="G3" s="253" t="s">
        <v>102</v>
      </c>
    </row>
    <row r="4" spans="1:7" s="260" customFormat="1" ht="12.75" customHeight="1">
      <c r="A4" s="479">
        <v>30</v>
      </c>
      <c r="B4" s="480"/>
      <c r="C4" s="256" t="s">
        <v>117</v>
      </c>
      <c r="D4" s="257"/>
      <c r="E4" s="257">
        <v>250532.8</v>
      </c>
      <c r="F4" s="258">
        <v>253385.04064</v>
      </c>
      <c r="G4" s="259">
        <v>254193.4</v>
      </c>
    </row>
    <row r="5" spans="1:7" s="260" customFormat="1" ht="12.75" customHeight="1">
      <c r="A5" s="261">
        <v>31</v>
      </c>
      <c r="B5" s="262"/>
      <c r="C5" s="263" t="s">
        <v>460</v>
      </c>
      <c r="D5" s="264"/>
      <c r="E5" s="264">
        <v>69117.7</v>
      </c>
      <c r="F5" s="266">
        <v>69669.03996</v>
      </c>
      <c r="G5" s="267">
        <v>71803.5</v>
      </c>
    </row>
    <row r="6" spans="1:7" s="260" customFormat="1" ht="12.75" customHeight="1">
      <c r="A6" s="268" t="s">
        <v>119</v>
      </c>
      <c r="B6" s="269"/>
      <c r="C6" s="270" t="s">
        <v>461</v>
      </c>
      <c r="D6" s="271"/>
      <c r="E6" s="271">
        <v>8083</v>
      </c>
      <c r="F6" s="272">
        <v>8624.62745</v>
      </c>
      <c r="G6" s="273">
        <v>8778.5</v>
      </c>
    </row>
    <row r="7" spans="1:7" s="260" customFormat="1" ht="12.75" customHeight="1">
      <c r="A7" s="268" t="s">
        <v>462</v>
      </c>
      <c r="B7" s="269"/>
      <c r="C7" s="270" t="s">
        <v>463</v>
      </c>
      <c r="D7" s="271"/>
      <c r="E7" s="271">
        <v>0</v>
      </c>
      <c r="F7" s="272">
        <v>0</v>
      </c>
      <c r="G7" s="273">
        <v>0</v>
      </c>
    </row>
    <row r="8" spans="1:7" s="260" customFormat="1" ht="12.75" customHeight="1">
      <c r="A8" s="274">
        <v>330</v>
      </c>
      <c r="B8" s="262"/>
      <c r="C8" s="263" t="s">
        <v>464</v>
      </c>
      <c r="D8" s="275"/>
      <c r="E8" s="275">
        <v>16760</v>
      </c>
      <c r="F8" s="266">
        <v>16614.251</v>
      </c>
      <c r="G8" s="276">
        <v>16689.7</v>
      </c>
    </row>
    <row r="9" spans="1:7" s="260" customFormat="1" ht="12.75" customHeight="1">
      <c r="A9" s="274">
        <v>332</v>
      </c>
      <c r="B9" s="262"/>
      <c r="C9" s="263" t="s">
        <v>465</v>
      </c>
      <c r="D9" s="275"/>
      <c r="E9" s="275">
        <v>0</v>
      </c>
      <c r="F9" s="266">
        <v>0</v>
      </c>
      <c r="G9" s="276">
        <v>0</v>
      </c>
    </row>
    <row r="10" spans="1:7" s="260" customFormat="1" ht="12.75" customHeight="1">
      <c r="A10" s="274">
        <v>339</v>
      </c>
      <c r="B10" s="262"/>
      <c r="C10" s="263" t="s">
        <v>466</v>
      </c>
      <c r="D10" s="275">
        <v>0</v>
      </c>
      <c r="E10" s="275">
        <v>0</v>
      </c>
      <c r="F10" s="266">
        <v>0</v>
      </c>
      <c r="G10" s="276">
        <v>0</v>
      </c>
    </row>
    <row r="11" spans="1:7" s="538" customFormat="1" ht="27.75" customHeight="1">
      <c r="A11" s="536">
        <v>350</v>
      </c>
      <c r="B11" s="537"/>
      <c r="C11" s="280" t="s">
        <v>467</v>
      </c>
      <c r="D11" s="281">
        <v>0</v>
      </c>
      <c r="E11" s="281">
        <v>92.20000000000073</v>
      </c>
      <c r="F11" s="281">
        <v>82.4</v>
      </c>
      <c r="G11" s="496">
        <v>82</v>
      </c>
    </row>
    <row r="12" spans="1:7" s="285" customFormat="1" ht="25.5">
      <c r="A12" s="278">
        <v>351</v>
      </c>
      <c r="B12" s="279"/>
      <c r="C12" s="280" t="s">
        <v>468</v>
      </c>
      <c r="D12" s="346"/>
      <c r="E12" s="282">
        <v>8855.4</v>
      </c>
      <c r="F12" s="283">
        <v>9253.35132</v>
      </c>
      <c r="G12" s="482">
        <v>9673.2</v>
      </c>
    </row>
    <row r="13" spans="1:8" s="260" customFormat="1" ht="12.75" customHeight="1">
      <c r="A13" s="261">
        <v>36</v>
      </c>
      <c r="B13" s="262"/>
      <c r="C13" s="263" t="s">
        <v>469</v>
      </c>
      <c r="D13" s="275"/>
      <c r="E13" s="264">
        <v>380397.4</v>
      </c>
      <c r="F13" s="286">
        <v>387284.61671</v>
      </c>
      <c r="G13" s="276">
        <v>402743.9</v>
      </c>
      <c r="H13" s="252"/>
    </row>
    <row r="14" spans="1:8" s="260" customFormat="1" ht="12.75" customHeight="1">
      <c r="A14" s="287" t="s">
        <v>470</v>
      </c>
      <c r="B14" s="262"/>
      <c r="C14" s="288" t="s">
        <v>471</v>
      </c>
      <c r="D14" s="275"/>
      <c r="E14" s="323">
        <v>85506</v>
      </c>
      <c r="F14" s="286">
        <v>83481.58023</v>
      </c>
      <c r="G14" s="276">
        <v>86832.9</v>
      </c>
      <c r="H14" s="252"/>
    </row>
    <row r="15" spans="1:8" s="260" customFormat="1" ht="12.75" customHeight="1">
      <c r="A15" s="287" t="s">
        <v>472</v>
      </c>
      <c r="B15" s="262"/>
      <c r="C15" s="288" t="s">
        <v>473</v>
      </c>
      <c r="D15" s="275"/>
      <c r="E15" s="323">
        <v>15725.5</v>
      </c>
      <c r="F15" s="286">
        <v>14693.91029</v>
      </c>
      <c r="G15" s="276">
        <v>17477.5</v>
      </c>
      <c r="H15" s="252"/>
    </row>
    <row r="16" spans="1:8" s="297" customFormat="1" ht="26.25" customHeight="1">
      <c r="A16" s="287" t="s">
        <v>474</v>
      </c>
      <c r="B16" s="483"/>
      <c r="C16" s="288" t="s">
        <v>475</v>
      </c>
      <c r="D16" s="293"/>
      <c r="E16" s="294">
        <v>22027</v>
      </c>
      <c r="F16" s="295">
        <v>21875.795</v>
      </c>
      <c r="G16" s="296">
        <v>21016.3</v>
      </c>
      <c r="H16" s="539"/>
    </row>
    <row r="17" spans="1:8" s="299" customFormat="1" ht="12.75">
      <c r="A17" s="261">
        <v>37</v>
      </c>
      <c r="B17" s="262"/>
      <c r="C17" s="263" t="s">
        <v>476</v>
      </c>
      <c r="D17" s="316"/>
      <c r="E17" s="264">
        <v>105890.5</v>
      </c>
      <c r="F17" s="286">
        <v>105209.3606</v>
      </c>
      <c r="G17" s="298">
        <v>105641.4</v>
      </c>
      <c r="H17" s="242"/>
    </row>
    <row r="18" spans="1:8" s="299" customFormat="1" ht="12.75">
      <c r="A18" s="274" t="s">
        <v>477</v>
      </c>
      <c r="B18" s="262"/>
      <c r="C18" s="263" t="s">
        <v>478</v>
      </c>
      <c r="D18" s="316"/>
      <c r="E18" s="323">
        <v>0</v>
      </c>
      <c r="F18" s="286">
        <v>0</v>
      </c>
      <c r="G18" s="276">
        <v>0</v>
      </c>
      <c r="H18" s="252"/>
    </row>
    <row r="19" spans="1:8" s="299" customFormat="1" ht="12.75">
      <c r="A19" s="274" t="s">
        <v>479</v>
      </c>
      <c r="B19" s="262"/>
      <c r="C19" s="263" t="s">
        <v>480</v>
      </c>
      <c r="D19" s="316"/>
      <c r="E19" s="323">
        <v>102910</v>
      </c>
      <c r="F19" s="286">
        <v>101542.64885</v>
      </c>
      <c r="G19" s="298">
        <v>103102</v>
      </c>
      <c r="H19" s="252"/>
    </row>
    <row r="20" spans="1:7" s="260" customFormat="1" ht="12.75" customHeight="1">
      <c r="A20" s="301">
        <v>39</v>
      </c>
      <c r="B20" s="302"/>
      <c r="C20" s="303" t="s">
        <v>139</v>
      </c>
      <c r="D20" s="306"/>
      <c r="E20" s="304">
        <v>596</v>
      </c>
      <c r="F20" s="307">
        <v>391.47355</v>
      </c>
      <c r="G20" s="308">
        <v>501</v>
      </c>
    </row>
    <row r="21" spans="1:7" ht="12.75" customHeight="1">
      <c r="A21" s="309"/>
      <c r="B21" s="309"/>
      <c r="C21" s="310" t="s">
        <v>481</v>
      </c>
      <c r="D21" s="311">
        <f>D4+D5+SUM(D8:D13)+D17</f>
        <v>0</v>
      </c>
      <c r="E21" s="311">
        <f>E4+E5+SUM(E8:E13)+E17</f>
        <v>831646</v>
      </c>
      <c r="F21" s="311">
        <f>F4+F5+SUM(F8:F13)+F17</f>
        <v>841498.06023</v>
      </c>
      <c r="G21" s="311">
        <f>G4+G5+SUM(G8:G13)+G17</f>
        <v>860827.1000000001</v>
      </c>
    </row>
    <row r="22" spans="1:7" s="260" customFormat="1" ht="12.75" customHeight="1">
      <c r="A22" s="274" t="s">
        <v>247</v>
      </c>
      <c r="B22" s="262"/>
      <c r="C22" s="263" t="s">
        <v>482</v>
      </c>
      <c r="D22" s="275"/>
      <c r="E22" s="275">
        <v>256630</v>
      </c>
      <c r="F22" s="266">
        <v>263528.24442</v>
      </c>
      <c r="G22" s="276">
        <v>263955</v>
      </c>
    </row>
    <row r="23" spans="1:7" s="260" customFormat="1" ht="12.75" customHeight="1">
      <c r="A23" s="274" t="s">
        <v>249</v>
      </c>
      <c r="B23" s="262"/>
      <c r="C23" s="263" t="s">
        <v>483</v>
      </c>
      <c r="D23" s="275"/>
      <c r="E23" s="275">
        <v>47630</v>
      </c>
      <c r="F23" s="266">
        <v>47849.129</v>
      </c>
      <c r="G23" s="276">
        <v>48555</v>
      </c>
    </row>
    <row r="24" spans="1:7" s="313" customFormat="1" ht="12.75" customHeight="1">
      <c r="A24" s="261">
        <v>41</v>
      </c>
      <c r="B24" s="262"/>
      <c r="C24" s="263" t="s">
        <v>484</v>
      </c>
      <c r="D24" s="275"/>
      <c r="E24" s="275">
        <v>8491.7</v>
      </c>
      <c r="F24" s="266">
        <v>7930.97445</v>
      </c>
      <c r="G24" s="276">
        <v>7752.7</v>
      </c>
    </row>
    <row r="25" spans="1:7" s="260" customFormat="1" ht="12.75" customHeight="1">
      <c r="A25" s="314">
        <v>42</v>
      </c>
      <c r="B25" s="315"/>
      <c r="C25" s="263" t="s">
        <v>485</v>
      </c>
      <c r="D25" s="275"/>
      <c r="E25" s="275">
        <v>38381.8</v>
      </c>
      <c r="F25" s="266">
        <v>38787.70676</v>
      </c>
      <c r="G25" s="276">
        <v>37816.4</v>
      </c>
    </row>
    <row r="26" spans="1:7" s="318" customFormat="1" ht="12.75" customHeight="1">
      <c r="A26" s="278">
        <v>430</v>
      </c>
      <c r="B26" s="262"/>
      <c r="C26" s="263" t="s">
        <v>486</v>
      </c>
      <c r="D26" s="316"/>
      <c r="E26" s="316">
        <v>125.2</v>
      </c>
      <c r="F26" s="317">
        <v>122.4053</v>
      </c>
      <c r="G26" s="298">
        <v>121.2</v>
      </c>
    </row>
    <row r="27" spans="1:7" s="318" customFormat="1" ht="12.75" customHeight="1">
      <c r="A27" s="278">
        <v>431</v>
      </c>
      <c r="B27" s="262"/>
      <c r="C27" s="263" t="s">
        <v>487</v>
      </c>
      <c r="D27" s="316"/>
      <c r="E27" s="316">
        <v>20</v>
      </c>
      <c r="F27" s="317">
        <v>141.584</v>
      </c>
      <c r="G27" s="298">
        <v>20</v>
      </c>
    </row>
    <row r="28" spans="1:7" s="318" customFormat="1" ht="12.75" customHeight="1">
      <c r="A28" s="278">
        <v>432</v>
      </c>
      <c r="B28" s="262"/>
      <c r="C28" s="263" t="s">
        <v>488</v>
      </c>
      <c r="D28" s="316"/>
      <c r="E28" s="316">
        <v>0</v>
      </c>
      <c r="F28" s="317">
        <v>0</v>
      </c>
      <c r="G28" s="298">
        <v>0</v>
      </c>
    </row>
    <row r="29" spans="1:7" s="318" customFormat="1" ht="12.75" customHeight="1">
      <c r="A29" s="278">
        <v>439</v>
      </c>
      <c r="B29" s="262"/>
      <c r="C29" s="263" t="s">
        <v>489</v>
      </c>
      <c r="D29" s="316"/>
      <c r="E29" s="316">
        <v>3</v>
      </c>
      <c r="F29" s="317">
        <v>3</v>
      </c>
      <c r="G29" s="298">
        <v>3</v>
      </c>
    </row>
    <row r="30" spans="1:7" s="260" customFormat="1" ht="25.5">
      <c r="A30" s="278">
        <v>450</v>
      </c>
      <c r="B30" s="279"/>
      <c r="C30" s="280" t="s">
        <v>490</v>
      </c>
      <c r="D30" s="264">
        <v>0</v>
      </c>
      <c r="E30" s="264">
        <v>0</v>
      </c>
      <c r="F30" s="264">
        <v>18.65442</v>
      </c>
      <c r="G30" s="319">
        <v>0</v>
      </c>
    </row>
    <row r="31" spans="1:7" s="285" customFormat="1" ht="25.5">
      <c r="A31" s="278">
        <v>451</v>
      </c>
      <c r="B31" s="279"/>
      <c r="C31" s="280" t="s">
        <v>491</v>
      </c>
      <c r="D31" s="275"/>
      <c r="E31" s="281">
        <v>5093.6</v>
      </c>
      <c r="F31" s="540">
        <v>4486.3726</v>
      </c>
      <c r="G31" s="541">
        <v>10164.2</v>
      </c>
    </row>
    <row r="32" spans="1:7" s="260" customFormat="1" ht="12.75" customHeight="1">
      <c r="A32" s="261">
        <v>46</v>
      </c>
      <c r="B32" s="262"/>
      <c r="C32" s="263" t="s">
        <v>492</v>
      </c>
      <c r="D32" s="275"/>
      <c r="E32" s="275">
        <v>362729.4</v>
      </c>
      <c r="F32" s="266">
        <v>362761.72553</v>
      </c>
      <c r="G32" s="276">
        <v>382512.7</v>
      </c>
    </row>
    <row r="33" spans="1:7" s="285" customFormat="1" ht="12.75" customHeight="1">
      <c r="A33" s="322" t="s">
        <v>493</v>
      </c>
      <c r="B33" s="269"/>
      <c r="C33" s="270" t="s">
        <v>494</v>
      </c>
      <c r="D33" s="271"/>
      <c r="E33" s="271">
        <v>0</v>
      </c>
      <c r="F33" s="272">
        <v>0</v>
      </c>
      <c r="G33" s="273">
        <v>0</v>
      </c>
    </row>
    <row r="34" spans="1:7" s="260" customFormat="1" ht="15" customHeight="1">
      <c r="A34" s="261">
        <v>47</v>
      </c>
      <c r="B34" s="262"/>
      <c r="C34" s="263" t="s">
        <v>476</v>
      </c>
      <c r="D34" s="275"/>
      <c r="E34" s="275">
        <v>105890.5</v>
      </c>
      <c r="F34" s="266">
        <v>105209.3606</v>
      </c>
      <c r="G34" s="276">
        <v>105641.4</v>
      </c>
    </row>
    <row r="35" spans="1:7" s="260" customFormat="1" ht="15" customHeight="1">
      <c r="A35" s="301">
        <v>49</v>
      </c>
      <c r="B35" s="302"/>
      <c r="C35" s="303" t="s">
        <v>139</v>
      </c>
      <c r="D35" s="306"/>
      <c r="E35" s="304">
        <v>596</v>
      </c>
      <c r="F35" s="307">
        <v>391.47355</v>
      </c>
      <c r="G35" s="308">
        <v>500.5</v>
      </c>
    </row>
    <row r="36" spans="1:7" ht="13.5" customHeight="1">
      <c r="A36" s="309"/>
      <c r="B36" s="335"/>
      <c r="C36" s="310" t="s">
        <v>495</v>
      </c>
      <c r="D36" s="311">
        <f>D22+D23+D24+D25+D26+D27+D28+D29+D30+D31+D32+D34</f>
        <v>0</v>
      </c>
      <c r="E36" s="311">
        <f>E22+E23+E24+E25+E26+E27+E28+E29+E30+E31+E32+E34</f>
        <v>824995.2</v>
      </c>
      <c r="F36" s="311">
        <f>F22+F23+F24+F25+F26+F27+F28+F29+F30+F31+F32+F34</f>
        <v>830839.15708</v>
      </c>
      <c r="G36" s="311">
        <f>G22+G23+G24+G25+G26+G27+G28+G29+G30+G31+G32+G34</f>
        <v>856541.6000000001</v>
      </c>
    </row>
    <row r="37" spans="1:7" s="487" customFormat="1" ht="15" customHeight="1">
      <c r="A37" s="309"/>
      <c r="B37" s="335"/>
      <c r="C37" s="310" t="s">
        <v>496</v>
      </c>
      <c r="D37" s="311">
        <f>D36-D21</f>
        <v>0</v>
      </c>
      <c r="E37" s="311">
        <f>E36-E21</f>
        <v>-6650.800000000047</v>
      </c>
      <c r="F37" s="311">
        <f>F36-F21</f>
        <v>-10658.903149999911</v>
      </c>
      <c r="G37" s="311">
        <f>G36-G21</f>
        <v>-4285.5</v>
      </c>
    </row>
    <row r="38" spans="1:7" s="285" customFormat="1" ht="15" customHeight="1">
      <c r="A38" s="274">
        <v>340</v>
      </c>
      <c r="B38" s="262"/>
      <c r="C38" s="263" t="s">
        <v>497</v>
      </c>
      <c r="D38" s="316"/>
      <c r="E38" s="264">
        <v>8156.3</v>
      </c>
      <c r="F38" s="286">
        <v>6853.33888</v>
      </c>
      <c r="G38" s="276">
        <v>5244.8</v>
      </c>
    </row>
    <row r="39" spans="1:7" s="285" customFormat="1" ht="15" customHeight="1">
      <c r="A39" s="274">
        <v>341</v>
      </c>
      <c r="B39" s="262"/>
      <c r="C39" s="263" t="s">
        <v>498</v>
      </c>
      <c r="D39" s="316"/>
      <c r="E39" s="275">
        <v>0</v>
      </c>
      <c r="F39" s="266">
        <v>0.38455</v>
      </c>
      <c r="G39" s="276">
        <v>0</v>
      </c>
    </row>
    <row r="40" spans="1:7" s="285" customFormat="1" ht="15" customHeight="1">
      <c r="A40" s="274">
        <v>342</v>
      </c>
      <c r="B40" s="262"/>
      <c r="C40" s="263" t="s">
        <v>499</v>
      </c>
      <c r="D40" s="316"/>
      <c r="E40" s="275">
        <v>3.5</v>
      </c>
      <c r="F40" s="266">
        <v>2.9792</v>
      </c>
      <c r="G40" s="276">
        <v>3.2</v>
      </c>
    </row>
    <row r="41" spans="1:7" s="285" customFormat="1" ht="15" customHeight="1">
      <c r="A41" s="274">
        <v>343</v>
      </c>
      <c r="B41" s="262"/>
      <c r="C41" s="263" t="s">
        <v>500</v>
      </c>
      <c r="D41" s="316"/>
      <c r="E41" s="275">
        <v>64.5</v>
      </c>
      <c r="F41" s="266">
        <v>67.6326</v>
      </c>
      <c r="G41" s="276">
        <v>66.5</v>
      </c>
    </row>
    <row r="42" spans="1:7" s="285" customFormat="1" ht="15" customHeight="1">
      <c r="A42" s="274">
        <v>344</v>
      </c>
      <c r="B42" s="262"/>
      <c r="C42" s="263" t="s">
        <v>501</v>
      </c>
      <c r="D42" s="316"/>
      <c r="E42" s="275">
        <v>0</v>
      </c>
      <c r="F42" s="266">
        <v>0</v>
      </c>
      <c r="G42" s="276">
        <v>0</v>
      </c>
    </row>
    <row r="43" spans="1:7" s="285" customFormat="1" ht="15" customHeight="1">
      <c r="A43" s="274">
        <v>349</v>
      </c>
      <c r="B43" s="262"/>
      <c r="C43" s="263" t="s">
        <v>502</v>
      </c>
      <c r="D43" s="316"/>
      <c r="E43" s="275">
        <v>0</v>
      </c>
      <c r="F43" s="266">
        <v>0.67535</v>
      </c>
      <c r="G43" s="276">
        <v>0</v>
      </c>
    </row>
    <row r="44" spans="1:7" s="260" customFormat="1" ht="15" customHeight="1">
      <c r="A44" s="261">
        <v>440</v>
      </c>
      <c r="B44" s="262"/>
      <c r="C44" s="263" t="s">
        <v>503</v>
      </c>
      <c r="D44" s="316"/>
      <c r="E44" s="264">
        <v>4027.5</v>
      </c>
      <c r="F44" s="286">
        <v>3733.82437</v>
      </c>
      <c r="G44" s="276">
        <v>2979.5</v>
      </c>
    </row>
    <row r="45" spans="1:7" s="260" customFormat="1" ht="15" customHeight="1">
      <c r="A45" s="261">
        <v>441</v>
      </c>
      <c r="B45" s="262"/>
      <c r="C45" s="263" t="s">
        <v>504</v>
      </c>
      <c r="D45" s="316"/>
      <c r="E45" s="264">
        <v>100</v>
      </c>
      <c r="F45" s="286">
        <v>140.879</v>
      </c>
      <c r="G45" s="276">
        <v>100</v>
      </c>
    </row>
    <row r="46" spans="1:7" s="260" customFormat="1" ht="15" customHeight="1">
      <c r="A46" s="261">
        <v>442</v>
      </c>
      <c r="B46" s="262"/>
      <c r="C46" s="263" t="s">
        <v>505</v>
      </c>
      <c r="D46" s="316"/>
      <c r="E46" s="264">
        <v>272.7</v>
      </c>
      <c r="F46" s="286">
        <v>264.848</v>
      </c>
      <c r="G46" s="276">
        <v>264.8</v>
      </c>
    </row>
    <row r="47" spans="1:7" s="260" customFormat="1" ht="15" customHeight="1">
      <c r="A47" s="261">
        <v>443</v>
      </c>
      <c r="B47" s="262"/>
      <c r="C47" s="263" t="s">
        <v>506</v>
      </c>
      <c r="D47" s="316"/>
      <c r="E47" s="264">
        <v>21</v>
      </c>
      <c r="F47" s="286">
        <v>21.6434</v>
      </c>
      <c r="G47" s="276">
        <v>21</v>
      </c>
    </row>
    <row r="48" spans="1:7" s="260" customFormat="1" ht="15" customHeight="1">
      <c r="A48" s="261">
        <v>444</v>
      </c>
      <c r="B48" s="262"/>
      <c r="C48" s="263" t="s">
        <v>507</v>
      </c>
      <c r="D48" s="316"/>
      <c r="E48" s="264">
        <v>0</v>
      </c>
      <c r="F48" s="286">
        <v>0</v>
      </c>
      <c r="G48" s="276">
        <v>0</v>
      </c>
    </row>
    <row r="49" spans="1:7" s="260" customFormat="1" ht="15" customHeight="1">
      <c r="A49" s="261">
        <v>445</v>
      </c>
      <c r="B49" s="262"/>
      <c r="C49" s="263" t="s">
        <v>508</v>
      </c>
      <c r="D49" s="316"/>
      <c r="E49" s="264">
        <v>3227.2</v>
      </c>
      <c r="F49" s="286">
        <v>2708.04</v>
      </c>
      <c r="G49" s="276">
        <v>2867.2</v>
      </c>
    </row>
    <row r="50" spans="1:7" s="260" customFormat="1" ht="15" customHeight="1">
      <c r="A50" s="261">
        <v>446</v>
      </c>
      <c r="B50" s="262"/>
      <c r="C50" s="263" t="s">
        <v>509</v>
      </c>
      <c r="D50" s="316"/>
      <c r="E50" s="264">
        <v>922.3</v>
      </c>
      <c r="F50" s="286">
        <v>940.26</v>
      </c>
      <c r="G50" s="276">
        <v>947.3</v>
      </c>
    </row>
    <row r="51" spans="1:7" s="260" customFormat="1" ht="15" customHeight="1">
      <c r="A51" s="261">
        <v>447</v>
      </c>
      <c r="B51" s="262"/>
      <c r="C51" s="263" t="s">
        <v>510</v>
      </c>
      <c r="D51" s="316"/>
      <c r="E51" s="264">
        <v>2318.8</v>
      </c>
      <c r="F51" s="286">
        <v>2203.45415</v>
      </c>
      <c r="G51" s="276">
        <v>2340.3</v>
      </c>
    </row>
    <row r="52" spans="1:7" s="260" customFormat="1" ht="15" customHeight="1">
      <c r="A52" s="261">
        <v>448</v>
      </c>
      <c r="B52" s="262"/>
      <c r="C52" s="263" t="s">
        <v>511</v>
      </c>
      <c r="D52" s="316"/>
      <c r="E52" s="264">
        <v>0</v>
      </c>
      <c r="F52" s="286">
        <v>0</v>
      </c>
      <c r="G52" s="276">
        <v>0</v>
      </c>
    </row>
    <row r="53" spans="1:7" s="260" customFormat="1" ht="15" customHeight="1">
      <c r="A53" s="261">
        <v>449</v>
      </c>
      <c r="B53" s="262"/>
      <c r="C53" s="263" t="s">
        <v>512</v>
      </c>
      <c r="D53" s="316"/>
      <c r="E53" s="264">
        <v>0</v>
      </c>
      <c r="F53" s="286">
        <v>0</v>
      </c>
      <c r="G53" s="276">
        <v>0</v>
      </c>
    </row>
    <row r="54" spans="1:7" s="285" customFormat="1" ht="13.5" customHeight="1">
      <c r="A54" s="329" t="s">
        <v>513</v>
      </c>
      <c r="B54" s="330"/>
      <c r="C54" s="330" t="s">
        <v>514</v>
      </c>
      <c r="D54" s="497"/>
      <c r="E54" s="306">
        <v>0</v>
      </c>
      <c r="F54" s="333">
        <v>0</v>
      </c>
      <c r="G54" s="334">
        <v>0</v>
      </c>
    </row>
    <row r="55" spans="1:7" ht="15" customHeight="1">
      <c r="A55" s="335"/>
      <c r="B55" s="335"/>
      <c r="C55" s="310" t="s">
        <v>515</v>
      </c>
      <c r="D55" s="311">
        <f>SUM(D44:D53)-SUM(D38:D43)</f>
        <v>0</v>
      </c>
      <c r="E55" s="311">
        <f>SUM(E44:E53)-SUM(E38:E43)</f>
        <v>2665.2000000000007</v>
      </c>
      <c r="F55" s="311">
        <f>SUM(F44:F53)-SUM(F38:F43)</f>
        <v>3087.9383400000006</v>
      </c>
      <c r="G55" s="311">
        <f>SUM(G44:G53)-SUM(G38:G43)</f>
        <v>4205.6</v>
      </c>
    </row>
    <row r="56" spans="1:7" ht="14.25" customHeight="1">
      <c r="A56" s="335"/>
      <c r="B56" s="335"/>
      <c r="C56" s="310" t="s">
        <v>516</v>
      </c>
      <c r="D56" s="311">
        <f>D55+D37</f>
        <v>0</v>
      </c>
      <c r="E56" s="311">
        <f>E55+E37</f>
        <v>-3985.600000000046</v>
      </c>
      <c r="F56" s="311">
        <f>F55+F37</f>
        <v>-7570.96480999991</v>
      </c>
      <c r="G56" s="311">
        <f>G55+G37</f>
        <v>-79.89999999999964</v>
      </c>
    </row>
    <row r="57" spans="1:7" s="260" customFormat="1" ht="15.75" customHeight="1">
      <c r="A57" s="336">
        <v>380</v>
      </c>
      <c r="B57" s="337"/>
      <c r="C57" s="338" t="s">
        <v>517</v>
      </c>
      <c r="D57" s="340"/>
      <c r="E57" s="339">
        <v>0</v>
      </c>
      <c r="F57" s="341">
        <v>0</v>
      </c>
      <c r="G57" s="342">
        <v>0</v>
      </c>
    </row>
    <row r="58" spans="1:7" s="260" customFormat="1" ht="15.75" customHeight="1">
      <c r="A58" s="336">
        <v>381</v>
      </c>
      <c r="B58" s="337"/>
      <c r="C58" s="338" t="s">
        <v>518</v>
      </c>
      <c r="D58" s="340"/>
      <c r="E58" s="339">
        <v>0</v>
      </c>
      <c r="F58" s="341">
        <v>0</v>
      </c>
      <c r="G58" s="342">
        <v>0</v>
      </c>
    </row>
    <row r="59" spans="1:7" s="285" customFormat="1" ht="25.5">
      <c r="A59" s="278">
        <v>383</v>
      </c>
      <c r="B59" s="279"/>
      <c r="C59" s="280" t="s">
        <v>519</v>
      </c>
      <c r="D59" s="344"/>
      <c r="E59" s="343">
        <v>0</v>
      </c>
      <c r="F59" s="345">
        <v>0</v>
      </c>
      <c r="G59" s="321">
        <v>0</v>
      </c>
    </row>
    <row r="60" spans="1:7" s="285" customFormat="1" ht="12.75">
      <c r="A60" s="278">
        <v>3840</v>
      </c>
      <c r="B60" s="279"/>
      <c r="C60" s="280" t="s">
        <v>520</v>
      </c>
      <c r="D60" s="346"/>
      <c r="E60" s="346">
        <v>0</v>
      </c>
      <c r="F60" s="508">
        <v>0</v>
      </c>
      <c r="G60" s="482">
        <v>0</v>
      </c>
    </row>
    <row r="61" spans="1:7" s="285" customFormat="1" ht="25.5">
      <c r="A61" s="278">
        <v>3841</v>
      </c>
      <c r="B61" s="279"/>
      <c r="C61" s="280" t="s">
        <v>521</v>
      </c>
      <c r="D61" s="346"/>
      <c r="E61" s="346">
        <v>0</v>
      </c>
      <c r="F61" s="508">
        <v>0</v>
      </c>
      <c r="G61" s="482">
        <v>0</v>
      </c>
    </row>
    <row r="62" spans="1:7" s="285" customFormat="1" ht="12.75">
      <c r="A62" s="349">
        <v>386</v>
      </c>
      <c r="B62" s="350"/>
      <c r="C62" s="351" t="s">
        <v>522</v>
      </c>
      <c r="D62" s="346"/>
      <c r="E62" s="346">
        <v>0</v>
      </c>
      <c r="F62" s="508">
        <v>0</v>
      </c>
      <c r="G62" s="482">
        <v>0</v>
      </c>
    </row>
    <row r="63" spans="1:7" s="285" customFormat="1" ht="25.5">
      <c r="A63" s="278">
        <v>387</v>
      </c>
      <c r="B63" s="279"/>
      <c r="C63" s="280" t="s">
        <v>523</v>
      </c>
      <c r="D63" s="346"/>
      <c r="E63" s="346">
        <v>0</v>
      </c>
      <c r="F63" s="508">
        <v>0</v>
      </c>
      <c r="G63" s="482">
        <v>0</v>
      </c>
    </row>
    <row r="64" spans="1:7" s="285" customFormat="1" ht="12.75">
      <c r="A64" s="274">
        <v>389</v>
      </c>
      <c r="B64" s="352"/>
      <c r="C64" s="263" t="s">
        <v>138</v>
      </c>
      <c r="D64" s="275"/>
      <c r="E64" s="275">
        <v>0</v>
      </c>
      <c r="F64" s="266">
        <v>0</v>
      </c>
      <c r="G64" s="276">
        <v>0</v>
      </c>
    </row>
    <row r="65" spans="1:7" s="260" customFormat="1" ht="12.75">
      <c r="A65" s="525" t="s">
        <v>291</v>
      </c>
      <c r="B65" s="262"/>
      <c r="C65" s="263" t="s">
        <v>524</v>
      </c>
      <c r="D65" s="275"/>
      <c r="E65" s="275">
        <v>800</v>
      </c>
      <c r="F65" s="266">
        <v>404</v>
      </c>
      <c r="G65" s="276">
        <v>800</v>
      </c>
    </row>
    <row r="66" spans="1:7" s="355" customFormat="1" ht="25.5">
      <c r="A66" s="278" t="s">
        <v>293</v>
      </c>
      <c r="B66" s="354"/>
      <c r="C66" s="280" t="s">
        <v>525</v>
      </c>
      <c r="D66" s="344"/>
      <c r="E66" s="344">
        <v>5</v>
      </c>
      <c r="F66" s="312">
        <v>24</v>
      </c>
      <c r="G66" s="321">
        <v>7</v>
      </c>
    </row>
    <row r="67" spans="1:7" s="260" customFormat="1" ht="12.75">
      <c r="A67" s="536">
        <v>481</v>
      </c>
      <c r="B67" s="262"/>
      <c r="C67" s="263" t="s">
        <v>526</v>
      </c>
      <c r="D67" s="275"/>
      <c r="E67" s="275">
        <v>0</v>
      </c>
      <c r="F67" s="266">
        <v>0</v>
      </c>
      <c r="G67" s="276">
        <v>0</v>
      </c>
    </row>
    <row r="68" spans="1:7" s="260" customFormat="1" ht="12.75">
      <c r="A68" s="536">
        <v>482</v>
      </c>
      <c r="B68" s="262"/>
      <c r="C68" s="263" t="s">
        <v>527</v>
      </c>
      <c r="D68" s="275"/>
      <c r="E68" s="275">
        <v>0</v>
      </c>
      <c r="F68" s="266">
        <v>0</v>
      </c>
      <c r="G68" s="276">
        <v>0</v>
      </c>
    </row>
    <row r="69" spans="1:7" s="260" customFormat="1" ht="12.75">
      <c r="A69" s="536">
        <v>483</v>
      </c>
      <c r="B69" s="262"/>
      <c r="C69" s="263" t="s">
        <v>528</v>
      </c>
      <c r="D69" s="275"/>
      <c r="E69" s="275">
        <v>0</v>
      </c>
      <c r="F69" s="266">
        <v>0</v>
      </c>
      <c r="G69" s="276">
        <v>0</v>
      </c>
    </row>
    <row r="70" spans="1:7" s="260" customFormat="1" ht="12.75">
      <c r="A70" s="536">
        <v>484</v>
      </c>
      <c r="B70" s="262"/>
      <c r="C70" s="263" t="s">
        <v>529</v>
      </c>
      <c r="D70" s="275"/>
      <c r="E70" s="275">
        <v>0</v>
      </c>
      <c r="F70" s="266">
        <v>0</v>
      </c>
      <c r="G70" s="276">
        <v>0</v>
      </c>
    </row>
    <row r="71" spans="1:7" s="260" customFormat="1" ht="12.75">
      <c r="A71" s="536">
        <v>485</v>
      </c>
      <c r="B71" s="262"/>
      <c r="C71" s="263" t="s">
        <v>530</v>
      </c>
      <c r="D71" s="275"/>
      <c r="E71" s="275">
        <v>0</v>
      </c>
      <c r="F71" s="266">
        <v>0</v>
      </c>
      <c r="G71" s="276">
        <v>0</v>
      </c>
    </row>
    <row r="72" spans="1:7" s="260" customFormat="1" ht="12.75">
      <c r="A72" s="536">
        <v>486</v>
      </c>
      <c r="B72" s="262"/>
      <c r="C72" s="263" t="s">
        <v>531</v>
      </c>
      <c r="D72" s="275"/>
      <c r="E72" s="275">
        <v>0</v>
      </c>
      <c r="F72" s="266">
        <v>0</v>
      </c>
      <c r="G72" s="276">
        <v>0</v>
      </c>
    </row>
    <row r="73" spans="1:7" s="285" customFormat="1" ht="25.5">
      <c r="A73" s="536">
        <v>487</v>
      </c>
      <c r="B73" s="542"/>
      <c r="C73" s="280" t="s">
        <v>532</v>
      </c>
      <c r="D73" s="275"/>
      <c r="E73" s="264">
        <v>0</v>
      </c>
      <c r="F73" s="345">
        <v>0</v>
      </c>
      <c r="G73" s="321">
        <v>0</v>
      </c>
    </row>
    <row r="74" spans="1:7" s="285" customFormat="1" ht="12.75">
      <c r="A74" s="536">
        <v>489</v>
      </c>
      <c r="B74" s="356"/>
      <c r="C74" s="303" t="s">
        <v>175</v>
      </c>
      <c r="D74" s="275"/>
      <c r="E74" s="264">
        <v>0</v>
      </c>
      <c r="F74" s="345">
        <v>0</v>
      </c>
      <c r="G74" s="321">
        <v>0</v>
      </c>
    </row>
    <row r="75" spans="1:7" s="285" customFormat="1" ht="12.75">
      <c r="A75" s="357" t="s">
        <v>533</v>
      </c>
      <c r="B75" s="356"/>
      <c r="C75" s="303" t="s">
        <v>534</v>
      </c>
      <c r="D75" s="275"/>
      <c r="E75" s="275">
        <v>0</v>
      </c>
      <c r="F75" s="266">
        <v>0</v>
      </c>
      <c r="G75" s="276">
        <v>0</v>
      </c>
    </row>
    <row r="76" spans="1:7" ht="12.75">
      <c r="A76" s="309"/>
      <c r="B76" s="309"/>
      <c r="C76" s="310" t="s">
        <v>535</v>
      </c>
      <c r="D76" s="311">
        <f>SUM(D65:D74)-SUM(D57:D64)</f>
        <v>0</v>
      </c>
      <c r="E76" s="311">
        <f>SUM(E65:E74)-SUM(E57:E64)</f>
        <v>805</v>
      </c>
      <c r="F76" s="311">
        <f>SUM(F65:F74)-SUM(F57:F64)</f>
        <v>428</v>
      </c>
      <c r="G76" s="311">
        <f>SUM(G65:G74)-SUM(G57:G64)</f>
        <v>807</v>
      </c>
    </row>
    <row r="77" spans="1:7" ht="12.75">
      <c r="A77" s="358"/>
      <c r="B77" s="358"/>
      <c r="C77" s="310" t="s">
        <v>536</v>
      </c>
      <c r="D77" s="311">
        <f>D56+D76</f>
        <v>0</v>
      </c>
      <c r="E77" s="311">
        <f>E56+E76</f>
        <v>-3180.600000000046</v>
      </c>
      <c r="F77" s="311">
        <f>F56+F76</f>
        <v>-7142.96480999991</v>
      </c>
      <c r="G77" s="311">
        <f>G56+G76</f>
        <v>727.1000000000004</v>
      </c>
    </row>
    <row r="78" spans="1:7" ht="12.75">
      <c r="A78" s="359">
        <v>3</v>
      </c>
      <c r="B78" s="359"/>
      <c r="C78" s="360" t="s">
        <v>306</v>
      </c>
      <c r="D78" s="361">
        <f>D20+D21+SUM(D38:D43)+SUM(D57:D64)</f>
        <v>0</v>
      </c>
      <c r="E78" s="361">
        <f>E20+E21+SUM(E38:E43)+SUM(E57:E64)</f>
        <v>840466.3</v>
      </c>
      <c r="F78" s="361">
        <f>F20+F21+SUM(F38:F43)+SUM(F57:F64)</f>
        <v>848814.5443599999</v>
      </c>
      <c r="G78" s="361">
        <f>G20+G21+SUM(G38:G43)+SUM(G57:G64)</f>
        <v>866642.6000000001</v>
      </c>
    </row>
    <row r="79" spans="1:7" ht="12.75">
      <c r="A79" s="359">
        <v>4</v>
      </c>
      <c r="B79" s="359"/>
      <c r="C79" s="360" t="s">
        <v>307</v>
      </c>
      <c r="D79" s="361">
        <f>D35+D36+SUM(D44:D53)+SUM(D65:D74)</f>
        <v>0</v>
      </c>
      <c r="E79" s="361">
        <f>E35+E36+SUM(E44:E53)+SUM(E65:E74)</f>
        <v>837285.7</v>
      </c>
      <c r="F79" s="361">
        <f>F35+F36+SUM(F44:F53)+SUM(F65:F74)</f>
        <v>841671.57955</v>
      </c>
      <c r="G79" s="361">
        <f>G35+G36+SUM(G44:G53)+SUM(G65:G74)</f>
        <v>867369.2000000001</v>
      </c>
    </row>
    <row r="80" spans="1:7" ht="12.75">
      <c r="A80" s="362"/>
      <c r="B80" s="362"/>
      <c r="C80" s="363"/>
      <c r="D80" s="364"/>
      <c r="E80" s="364"/>
      <c r="F80" s="364"/>
      <c r="G80" s="364"/>
    </row>
    <row r="81" spans="1:7" ht="12.75">
      <c r="A81" s="611" t="s">
        <v>537</v>
      </c>
      <c r="B81" s="612"/>
      <c r="C81" s="612"/>
      <c r="D81" s="366"/>
      <c r="E81" s="365"/>
      <c r="F81" s="366"/>
      <c r="G81" s="365"/>
    </row>
    <row r="82" spans="1:7" s="260" customFormat="1" ht="12.75">
      <c r="A82" s="367">
        <v>50</v>
      </c>
      <c r="B82" s="368"/>
      <c r="C82" s="368" t="s">
        <v>538</v>
      </c>
      <c r="D82" s="316"/>
      <c r="E82" s="275">
        <v>33065</v>
      </c>
      <c r="F82" s="266">
        <v>31356.13326</v>
      </c>
      <c r="G82" s="276">
        <v>30616</v>
      </c>
    </row>
    <row r="83" spans="1:7" s="260" customFormat="1" ht="12.75">
      <c r="A83" s="367">
        <v>51</v>
      </c>
      <c r="B83" s="368"/>
      <c r="C83" s="368" t="s">
        <v>539</v>
      </c>
      <c r="D83" s="316"/>
      <c r="E83" s="275">
        <v>0</v>
      </c>
      <c r="F83" s="266">
        <v>0</v>
      </c>
      <c r="G83" s="276">
        <v>0</v>
      </c>
    </row>
    <row r="84" spans="1:7" s="260" customFormat="1" ht="12.75">
      <c r="A84" s="367">
        <v>52</v>
      </c>
      <c r="B84" s="368"/>
      <c r="C84" s="368" t="s">
        <v>540</v>
      </c>
      <c r="D84" s="316"/>
      <c r="E84" s="275">
        <v>0</v>
      </c>
      <c r="F84" s="266">
        <v>0</v>
      </c>
      <c r="G84" s="276">
        <v>0</v>
      </c>
    </row>
    <row r="85" spans="1:7" s="260" customFormat="1" ht="12.75">
      <c r="A85" s="369">
        <v>54</v>
      </c>
      <c r="B85" s="370"/>
      <c r="C85" s="370" t="s">
        <v>541</v>
      </c>
      <c r="D85" s="316"/>
      <c r="E85" s="271">
        <v>1487</v>
      </c>
      <c r="F85" s="266">
        <v>1435.29</v>
      </c>
      <c r="G85" s="276">
        <v>1200</v>
      </c>
    </row>
    <row r="86" spans="1:7" s="260" customFormat="1" ht="12.75">
      <c r="A86" s="369">
        <v>55</v>
      </c>
      <c r="B86" s="370"/>
      <c r="C86" s="370" t="s">
        <v>542</v>
      </c>
      <c r="D86" s="316"/>
      <c r="E86" s="275">
        <v>0</v>
      </c>
      <c r="F86" s="266">
        <v>30</v>
      </c>
      <c r="G86" s="276">
        <v>0</v>
      </c>
    </row>
    <row r="87" spans="1:7" s="260" customFormat="1" ht="12.75">
      <c r="A87" s="369">
        <v>56</v>
      </c>
      <c r="B87" s="370"/>
      <c r="C87" s="370" t="s">
        <v>543</v>
      </c>
      <c r="D87" s="316"/>
      <c r="E87" s="275">
        <v>13495.5</v>
      </c>
      <c r="F87" s="266">
        <v>12033.58225</v>
      </c>
      <c r="G87" s="276">
        <v>12050.5</v>
      </c>
    </row>
    <row r="88" spans="1:7" s="260" customFormat="1" ht="12.75">
      <c r="A88" s="367">
        <v>57</v>
      </c>
      <c r="B88" s="368"/>
      <c r="C88" s="368" t="s">
        <v>544</v>
      </c>
      <c r="D88" s="316"/>
      <c r="E88" s="275">
        <v>8215</v>
      </c>
      <c r="F88" s="266">
        <v>9530.58965</v>
      </c>
      <c r="G88" s="276">
        <v>7908.7</v>
      </c>
    </row>
    <row r="89" spans="1:7" s="260" customFormat="1" ht="12.75">
      <c r="A89" s="367">
        <v>580</v>
      </c>
      <c r="B89" s="368"/>
      <c r="C89" s="368" t="s">
        <v>545</v>
      </c>
      <c r="D89" s="275"/>
      <c r="E89" s="275">
        <v>0</v>
      </c>
      <c r="F89" s="266">
        <v>0</v>
      </c>
      <c r="G89" s="276">
        <v>0</v>
      </c>
    </row>
    <row r="90" spans="1:7" s="260" customFormat="1" ht="12.75">
      <c r="A90" s="367">
        <v>582</v>
      </c>
      <c r="B90" s="368"/>
      <c r="C90" s="368" t="s">
        <v>546</v>
      </c>
      <c r="D90" s="275"/>
      <c r="E90" s="275">
        <v>0</v>
      </c>
      <c r="F90" s="266">
        <v>0</v>
      </c>
      <c r="G90" s="276">
        <v>0</v>
      </c>
    </row>
    <row r="91" spans="1:7" s="260" customFormat="1" ht="12.75">
      <c r="A91" s="367">
        <v>584</v>
      </c>
      <c r="B91" s="368"/>
      <c r="C91" s="368" t="s">
        <v>547</v>
      </c>
      <c r="D91" s="275"/>
      <c r="E91" s="275">
        <v>0</v>
      </c>
      <c r="F91" s="266">
        <v>0</v>
      </c>
      <c r="G91" s="276">
        <v>0</v>
      </c>
    </row>
    <row r="92" spans="1:7" s="260" customFormat="1" ht="12.75">
      <c r="A92" s="367">
        <v>585</v>
      </c>
      <c r="B92" s="368"/>
      <c r="C92" s="368" t="s">
        <v>548</v>
      </c>
      <c r="D92" s="275"/>
      <c r="E92" s="275">
        <v>0</v>
      </c>
      <c r="F92" s="266">
        <v>0</v>
      </c>
      <c r="G92" s="276">
        <v>0</v>
      </c>
    </row>
    <row r="93" spans="1:7" s="260" customFormat="1" ht="12.75">
      <c r="A93" s="367">
        <v>586</v>
      </c>
      <c r="B93" s="368"/>
      <c r="C93" s="368" t="s">
        <v>549</v>
      </c>
      <c r="D93" s="275"/>
      <c r="E93" s="275">
        <v>0</v>
      </c>
      <c r="F93" s="266">
        <v>2.109</v>
      </c>
      <c r="G93" s="276">
        <v>0</v>
      </c>
    </row>
    <row r="94" spans="1:7" s="260" customFormat="1" ht="12.75">
      <c r="A94" s="371">
        <v>589</v>
      </c>
      <c r="B94" s="372"/>
      <c r="C94" s="372" t="s">
        <v>550</v>
      </c>
      <c r="D94" s="306"/>
      <c r="E94" s="306">
        <v>0</v>
      </c>
      <c r="F94" s="373">
        <v>0</v>
      </c>
      <c r="G94" s="308">
        <v>0</v>
      </c>
    </row>
    <row r="95" spans="1:7" ht="12.75">
      <c r="A95" s="374">
        <v>5</v>
      </c>
      <c r="B95" s="375"/>
      <c r="C95" s="375" t="s">
        <v>551</v>
      </c>
      <c r="D95" s="376">
        <f>SUM(D82:D94)</f>
        <v>0</v>
      </c>
      <c r="E95" s="376">
        <f>SUM(E82:E94)</f>
        <v>56262.5</v>
      </c>
      <c r="F95" s="376">
        <f>SUM(F82:F94)</f>
        <v>54387.704159999994</v>
      </c>
      <c r="G95" s="376">
        <f>SUM(G82:G94)</f>
        <v>51775.2</v>
      </c>
    </row>
    <row r="96" spans="1:7" s="260" customFormat="1" ht="12.75">
      <c r="A96" s="367">
        <v>60</v>
      </c>
      <c r="B96" s="368"/>
      <c r="C96" s="368" t="s">
        <v>552</v>
      </c>
      <c r="D96" s="316"/>
      <c r="E96" s="275">
        <v>0</v>
      </c>
      <c r="F96" s="266">
        <v>3.421</v>
      </c>
      <c r="G96" s="276">
        <v>0</v>
      </c>
    </row>
    <row r="97" spans="1:7" s="260" customFormat="1" ht="12.75">
      <c r="A97" s="367">
        <v>61</v>
      </c>
      <c r="B97" s="368"/>
      <c r="C97" s="368" t="s">
        <v>553</v>
      </c>
      <c r="D97" s="316"/>
      <c r="E97" s="275">
        <v>0</v>
      </c>
      <c r="F97" s="266">
        <v>0</v>
      </c>
      <c r="G97" s="276">
        <v>0</v>
      </c>
    </row>
    <row r="98" spans="1:7" s="260" customFormat="1" ht="12.75">
      <c r="A98" s="367">
        <v>62</v>
      </c>
      <c r="B98" s="368"/>
      <c r="C98" s="368" t="s">
        <v>554</v>
      </c>
      <c r="D98" s="316"/>
      <c r="E98" s="275">
        <v>0</v>
      </c>
      <c r="F98" s="266">
        <v>0</v>
      </c>
      <c r="G98" s="276">
        <v>0</v>
      </c>
    </row>
    <row r="99" spans="1:7" s="260" customFormat="1" ht="12.75">
      <c r="A99" s="367">
        <v>63</v>
      </c>
      <c r="B99" s="368"/>
      <c r="C99" s="368" t="s">
        <v>555</v>
      </c>
      <c r="D99" s="316"/>
      <c r="E99" s="275">
        <v>3833.4</v>
      </c>
      <c r="F99" s="266">
        <v>3575.9429</v>
      </c>
      <c r="G99" s="276">
        <v>2899.2</v>
      </c>
    </row>
    <row r="100" spans="1:7" s="260" customFormat="1" ht="12.75">
      <c r="A100" s="367">
        <v>64</v>
      </c>
      <c r="B100" s="368"/>
      <c r="C100" s="368" t="s">
        <v>556</v>
      </c>
      <c r="D100" s="316"/>
      <c r="E100" s="271">
        <v>2732.1</v>
      </c>
      <c r="F100" s="266">
        <v>2880.12175</v>
      </c>
      <c r="G100" s="276">
        <v>2548.7</v>
      </c>
    </row>
    <row r="101" spans="1:7" s="260" customFormat="1" ht="12.75">
      <c r="A101" s="367">
        <v>65</v>
      </c>
      <c r="B101" s="368"/>
      <c r="C101" s="368" t="s">
        <v>557</v>
      </c>
      <c r="D101" s="316"/>
      <c r="E101" s="275">
        <v>0</v>
      </c>
      <c r="F101" s="266">
        <v>0</v>
      </c>
      <c r="G101" s="276">
        <v>0</v>
      </c>
    </row>
    <row r="102" spans="1:7" s="260" customFormat="1" ht="12.75">
      <c r="A102" s="367">
        <v>66</v>
      </c>
      <c r="B102" s="368"/>
      <c r="C102" s="368" t="s">
        <v>558</v>
      </c>
      <c r="D102" s="316"/>
      <c r="E102" s="275">
        <v>10</v>
      </c>
      <c r="F102" s="266">
        <v>4.742</v>
      </c>
      <c r="G102" s="276">
        <v>25</v>
      </c>
    </row>
    <row r="103" spans="1:7" s="260" customFormat="1" ht="12.75">
      <c r="A103" s="367">
        <v>67</v>
      </c>
      <c r="B103" s="368"/>
      <c r="C103" s="368" t="s">
        <v>544</v>
      </c>
      <c r="D103" s="316"/>
      <c r="E103" s="264">
        <v>8215</v>
      </c>
      <c r="F103" s="286">
        <v>9530.58965</v>
      </c>
      <c r="G103" s="267">
        <v>7908.7</v>
      </c>
    </row>
    <row r="104" spans="1:7" s="260" customFormat="1" ht="38.25">
      <c r="A104" s="377" t="s">
        <v>330</v>
      </c>
      <c r="B104" s="368"/>
      <c r="C104" s="378" t="s">
        <v>559</v>
      </c>
      <c r="D104" s="264"/>
      <c r="E104" s="264">
        <v>0</v>
      </c>
      <c r="F104" s="286">
        <v>0</v>
      </c>
      <c r="G104" s="267">
        <v>0</v>
      </c>
    </row>
    <row r="105" spans="1:7" s="355" customFormat="1" ht="54" customHeight="1">
      <c r="A105" s="381" t="s">
        <v>560</v>
      </c>
      <c r="B105" s="543"/>
      <c r="C105" s="382" t="s">
        <v>561</v>
      </c>
      <c r="D105" s="383"/>
      <c r="E105" s="383">
        <v>190</v>
      </c>
      <c r="F105" s="384">
        <v>550</v>
      </c>
      <c r="G105" s="385">
        <v>15</v>
      </c>
    </row>
    <row r="106" spans="1:7" ht="12.75">
      <c r="A106" s="374">
        <v>6</v>
      </c>
      <c r="B106" s="375"/>
      <c r="C106" s="375" t="s">
        <v>562</v>
      </c>
      <c r="D106" s="376">
        <f>SUM(D96:D105)</f>
        <v>0</v>
      </c>
      <c r="E106" s="376">
        <f>SUM(E96:E105)</f>
        <v>14980.5</v>
      </c>
      <c r="F106" s="376">
        <f>SUM(F96:F105)</f>
        <v>16544.8173</v>
      </c>
      <c r="G106" s="376">
        <f>SUM(G96:G105)</f>
        <v>13396.599999999999</v>
      </c>
    </row>
    <row r="107" spans="1:7" ht="12.75">
      <c r="A107" s="386" t="s">
        <v>335</v>
      </c>
      <c r="B107" s="386"/>
      <c r="C107" s="375" t="s">
        <v>4</v>
      </c>
      <c r="D107" s="376">
        <f>(D95-D88)-(D106-D103)</f>
        <v>0</v>
      </c>
      <c r="E107" s="376">
        <f>(E95-E88)-(E106-E103)</f>
        <v>41282</v>
      </c>
      <c r="F107" s="376">
        <f>(F95-F88)-(F106-F103)</f>
        <v>37842.88685999999</v>
      </c>
      <c r="G107" s="376">
        <f>(G95-G88)-(G106-G103)</f>
        <v>38378.6</v>
      </c>
    </row>
    <row r="108" spans="1:7" ht="12.75">
      <c r="A108" s="387" t="s">
        <v>336</v>
      </c>
      <c r="B108" s="387"/>
      <c r="C108" s="388" t="s">
        <v>563</v>
      </c>
      <c r="D108" s="389">
        <f>D107-D85-D86+D100+D101</f>
        <v>0</v>
      </c>
      <c r="E108" s="389">
        <f>E107-E85-E86+E100+E101</f>
        <v>42527.1</v>
      </c>
      <c r="F108" s="389">
        <f>F107-F85-F86+F100+F101</f>
        <v>39257.71860999999</v>
      </c>
      <c r="G108" s="389">
        <f>G107-G85-G86+G100+G101</f>
        <v>39727.299999999996</v>
      </c>
    </row>
    <row r="109" spans="1:7" ht="12.75">
      <c r="A109" s="362"/>
      <c r="B109" s="362"/>
      <c r="C109" s="363"/>
      <c r="D109" s="364"/>
      <c r="E109" s="364"/>
      <c r="F109" s="364"/>
      <c r="G109" s="364"/>
    </row>
    <row r="110" spans="1:7" s="250" customFormat="1" ht="12.75">
      <c r="A110" s="390" t="s">
        <v>338</v>
      </c>
      <c r="B110" s="391"/>
      <c r="C110" s="390"/>
      <c r="D110" s="364"/>
      <c r="E110" s="364"/>
      <c r="F110" s="364"/>
      <c r="G110" s="364"/>
    </row>
    <row r="111" spans="1:7" s="396" customFormat="1" ht="12.75">
      <c r="A111" s="392">
        <v>10</v>
      </c>
      <c r="B111" s="393"/>
      <c r="C111" s="393" t="s">
        <v>564</v>
      </c>
      <c r="D111" s="394">
        <f>D112+D117</f>
        <v>0</v>
      </c>
      <c r="E111" s="493">
        <f>E112+E117</f>
        <v>0</v>
      </c>
      <c r="F111" s="394">
        <f>F112+F117</f>
        <v>231452.80031</v>
      </c>
      <c r="G111" s="395">
        <f>G112+G117</f>
        <v>0</v>
      </c>
    </row>
    <row r="112" spans="1:7" s="396" customFormat="1" ht="12.75">
      <c r="A112" s="397" t="s">
        <v>340</v>
      </c>
      <c r="B112" s="398"/>
      <c r="C112" s="398" t="s">
        <v>565</v>
      </c>
      <c r="D112" s="394">
        <f>D113+D114+D115+D116</f>
        <v>0</v>
      </c>
      <c r="E112" s="493">
        <f>E113+E114+E115+E116</f>
        <v>0</v>
      </c>
      <c r="F112" s="394">
        <f>F113+F114+F115+F116</f>
        <v>222542.02661</v>
      </c>
      <c r="G112" s="395">
        <f>G113+G114+G115+G116</f>
        <v>0</v>
      </c>
    </row>
    <row r="113" spans="1:7" s="396" customFormat="1" ht="12.75">
      <c r="A113" s="410" t="s">
        <v>342</v>
      </c>
      <c r="B113" s="411"/>
      <c r="C113" s="411" t="s">
        <v>566</v>
      </c>
      <c r="D113" s="275"/>
      <c r="E113" s="316"/>
      <c r="F113" s="275">
        <v>180778.76367</v>
      </c>
      <c r="G113" s="277"/>
    </row>
    <row r="114" spans="1:7" s="406" customFormat="1" ht="15" customHeight="1">
      <c r="A114" s="414">
        <v>102</v>
      </c>
      <c r="B114" s="494"/>
      <c r="C114" s="494" t="s">
        <v>567</v>
      </c>
      <c r="D114" s="344"/>
      <c r="E114" s="344"/>
      <c r="F114" s="344">
        <v>0</v>
      </c>
      <c r="G114" s="495"/>
    </row>
    <row r="115" spans="1:7" s="396" customFormat="1" ht="12.75">
      <c r="A115" s="410">
        <v>104</v>
      </c>
      <c r="B115" s="411"/>
      <c r="C115" s="411" t="s">
        <v>568</v>
      </c>
      <c r="D115" s="275"/>
      <c r="E115" s="316"/>
      <c r="F115" s="275">
        <v>41613.83319</v>
      </c>
      <c r="G115" s="277"/>
    </row>
    <row r="116" spans="1:7" s="396" customFormat="1" ht="12.75">
      <c r="A116" s="410">
        <v>106</v>
      </c>
      <c r="B116" s="411"/>
      <c r="C116" s="411" t="s">
        <v>569</v>
      </c>
      <c r="D116" s="275"/>
      <c r="E116" s="316"/>
      <c r="F116" s="275">
        <v>149.42975</v>
      </c>
      <c r="G116" s="277"/>
    </row>
    <row r="117" spans="1:7" s="396" customFormat="1" ht="12.75">
      <c r="A117" s="397" t="s">
        <v>347</v>
      </c>
      <c r="B117" s="398"/>
      <c r="C117" s="398" t="s">
        <v>570</v>
      </c>
      <c r="D117" s="394">
        <f>D118+D119+D120</f>
        <v>0</v>
      </c>
      <c r="E117" s="493">
        <f>E118+E119+E120</f>
        <v>0</v>
      </c>
      <c r="F117" s="394">
        <f>F118+F119+F120</f>
        <v>8910.7737</v>
      </c>
      <c r="G117" s="395">
        <f>G118+G119+G120</f>
        <v>0</v>
      </c>
    </row>
    <row r="118" spans="1:7" s="396" customFormat="1" ht="12.75">
      <c r="A118" s="410">
        <v>107</v>
      </c>
      <c r="B118" s="411"/>
      <c r="C118" s="411" t="s">
        <v>571</v>
      </c>
      <c r="D118" s="275"/>
      <c r="E118" s="316"/>
      <c r="F118" s="275">
        <v>2650.18345</v>
      </c>
      <c r="G118" s="277"/>
    </row>
    <row r="119" spans="1:7" s="396" customFormat="1" ht="12.75">
      <c r="A119" s="410">
        <v>108</v>
      </c>
      <c r="B119" s="411"/>
      <c r="C119" s="411" t="s">
        <v>572</v>
      </c>
      <c r="D119" s="275"/>
      <c r="E119" s="316"/>
      <c r="F119" s="275">
        <v>6260.59025</v>
      </c>
      <c r="G119" s="277"/>
    </row>
    <row r="120" spans="1:7" s="409" customFormat="1" ht="25.5">
      <c r="A120" s="414">
        <v>109</v>
      </c>
      <c r="B120" s="415"/>
      <c r="C120" s="415" t="s">
        <v>573</v>
      </c>
      <c r="D120" s="281"/>
      <c r="E120" s="281"/>
      <c r="F120" s="281">
        <v>0</v>
      </c>
      <c r="G120" s="496"/>
    </row>
    <row r="121" spans="1:7" s="396" customFormat="1" ht="12.75">
      <c r="A121" s="397">
        <v>14</v>
      </c>
      <c r="B121" s="398"/>
      <c r="C121" s="398" t="s">
        <v>574</v>
      </c>
      <c r="D121" s="394">
        <f>SUM(D122:D130)</f>
        <v>0</v>
      </c>
      <c r="E121" s="394">
        <f>SUM(E122:E130)</f>
        <v>0</v>
      </c>
      <c r="F121" s="394">
        <f>SUM(F122:F130)</f>
        <v>470918.09309</v>
      </c>
      <c r="G121" s="394">
        <f>SUM(G122:G130)</f>
        <v>0</v>
      </c>
    </row>
    <row r="122" spans="1:7" s="396" customFormat="1" ht="12.75">
      <c r="A122" s="410" t="s">
        <v>353</v>
      </c>
      <c r="B122" s="411"/>
      <c r="C122" s="411" t="s">
        <v>575</v>
      </c>
      <c r="D122" s="275"/>
      <c r="E122" s="316"/>
      <c r="F122" s="275">
        <v>217848.12939</v>
      </c>
      <c r="G122" s="277"/>
    </row>
    <row r="123" spans="1:7" s="396" customFormat="1" ht="12.75">
      <c r="A123" s="410">
        <v>144</v>
      </c>
      <c r="B123" s="411"/>
      <c r="C123" s="411" t="s">
        <v>541</v>
      </c>
      <c r="D123" s="275"/>
      <c r="E123" s="316"/>
      <c r="F123" s="275">
        <v>95363.488</v>
      </c>
      <c r="G123" s="277"/>
    </row>
    <row r="124" spans="1:7" s="396" customFormat="1" ht="12.75">
      <c r="A124" s="410">
        <v>145</v>
      </c>
      <c r="B124" s="411"/>
      <c r="C124" s="411" t="s">
        <v>576</v>
      </c>
      <c r="D124" s="275"/>
      <c r="E124" s="316"/>
      <c r="F124" s="275">
        <v>22555.53</v>
      </c>
      <c r="G124" s="413"/>
    </row>
    <row r="125" spans="1:7" s="396" customFormat="1" ht="12.75">
      <c r="A125" s="410">
        <v>146</v>
      </c>
      <c r="B125" s="411"/>
      <c r="C125" s="411" t="s">
        <v>577</v>
      </c>
      <c r="D125" s="275"/>
      <c r="E125" s="316"/>
      <c r="F125" s="275">
        <v>135150.9457</v>
      </c>
      <c r="G125" s="413"/>
    </row>
    <row r="126" spans="1:7" s="409" customFormat="1" ht="29.25" customHeight="1">
      <c r="A126" s="414" t="s">
        <v>357</v>
      </c>
      <c r="B126" s="415"/>
      <c r="C126" s="415" t="s">
        <v>578</v>
      </c>
      <c r="D126" s="281"/>
      <c r="E126" s="281"/>
      <c r="F126" s="281">
        <v>0</v>
      </c>
      <c r="G126" s="417"/>
    </row>
    <row r="127" spans="1:7" s="396" customFormat="1" ht="12.75">
      <c r="A127" s="410">
        <v>1484</v>
      </c>
      <c r="B127" s="411"/>
      <c r="C127" s="411" t="s">
        <v>579</v>
      </c>
      <c r="D127" s="275"/>
      <c r="E127" s="316"/>
      <c r="F127" s="275">
        <v>0</v>
      </c>
      <c r="G127" s="413"/>
    </row>
    <row r="128" spans="1:7" s="409" customFormat="1" ht="25.5">
      <c r="A128" s="414">
        <v>1485</v>
      </c>
      <c r="B128" s="415"/>
      <c r="C128" s="415" t="s">
        <v>580</v>
      </c>
      <c r="D128" s="281"/>
      <c r="E128" s="281"/>
      <c r="F128" s="281">
        <v>0</v>
      </c>
      <c r="G128" s="417"/>
    </row>
    <row r="129" spans="1:7" s="409" customFormat="1" ht="25.5">
      <c r="A129" s="414">
        <v>1486</v>
      </c>
      <c r="B129" s="415"/>
      <c r="C129" s="415" t="s">
        <v>581</v>
      </c>
      <c r="D129" s="281"/>
      <c r="E129" s="281"/>
      <c r="F129" s="281">
        <v>0</v>
      </c>
      <c r="G129" s="417"/>
    </row>
    <row r="130" spans="1:7" s="409" customFormat="1" ht="12.75">
      <c r="A130" s="544">
        <v>1489</v>
      </c>
      <c r="B130" s="545"/>
      <c r="C130" s="545" t="s">
        <v>582</v>
      </c>
      <c r="D130" s="547"/>
      <c r="E130" s="547"/>
      <c r="F130" s="547">
        <v>0</v>
      </c>
      <c r="G130" s="548"/>
    </row>
    <row r="131" spans="1:7" s="250" customFormat="1" ht="12.75">
      <c r="A131" s="422">
        <v>1</v>
      </c>
      <c r="B131" s="423"/>
      <c r="C131" s="422" t="s">
        <v>583</v>
      </c>
      <c r="D131" s="424">
        <f>D111+D121</f>
        <v>0</v>
      </c>
      <c r="E131" s="424">
        <f>E111+E121</f>
        <v>0</v>
      </c>
      <c r="F131" s="424">
        <f>F111+F121</f>
        <v>702370.8934</v>
      </c>
      <c r="G131" s="424">
        <f>G111+G121</f>
        <v>0</v>
      </c>
    </row>
    <row r="132" spans="1:7" s="250" customFormat="1" ht="12.75">
      <c r="A132" s="362"/>
      <c r="B132" s="362"/>
      <c r="C132" s="363"/>
      <c r="D132" s="364"/>
      <c r="E132" s="364"/>
      <c r="F132" s="364"/>
      <c r="G132" s="364"/>
    </row>
    <row r="133" spans="1:7" s="396" customFormat="1" ht="12.75">
      <c r="A133" s="392">
        <v>20</v>
      </c>
      <c r="B133" s="393"/>
      <c r="C133" s="393" t="s">
        <v>584</v>
      </c>
      <c r="D133" s="425">
        <f>D134+D140</f>
        <v>0</v>
      </c>
      <c r="E133" s="425">
        <f>E134+E140</f>
        <v>0</v>
      </c>
      <c r="F133" s="425">
        <f>F134+F140</f>
        <v>486016.86059</v>
      </c>
      <c r="G133" s="426">
        <f>G134+G140</f>
        <v>0</v>
      </c>
    </row>
    <row r="134" spans="1:7" s="396" customFormat="1" ht="12.75">
      <c r="A134" s="427" t="s">
        <v>365</v>
      </c>
      <c r="B134" s="398"/>
      <c r="C134" s="398" t="s">
        <v>585</v>
      </c>
      <c r="D134" s="394">
        <f>D135+D136+D138+D139</f>
        <v>0</v>
      </c>
      <c r="E134" s="394">
        <f>E135+E136+E138+E139</f>
        <v>0</v>
      </c>
      <c r="F134" s="394">
        <f>F135+F136+F138+F139</f>
        <v>199697.49334</v>
      </c>
      <c r="G134" s="395">
        <f>G135+G136+G138+G139</f>
        <v>0</v>
      </c>
    </row>
    <row r="135" spans="1:7" s="429" customFormat="1" ht="12.75">
      <c r="A135" s="428">
        <v>200</v>
      </c>
      <c r="B135" s="411"/>
      <c r="C135" s="411" t="s">
        <v>586</v>
      </c>
      <c r="D135" s="275"/>
      <c r="E135" s="275"/>
      <c r="F135" s="275">
        <v>67196.03976</v>
      </c>
      <c r="G135" s="277"/>
    </row>
    <row r="136" spans="1:7" s="429" customFormat="1" ht="12.75">
      <c r="A136" s="428">
        <v>201</v>
      </c>
      <c r="B136" s="411"/>
      <c r="C136" s="411" t="s">
        <v>587</v>
      </c>
      <c r="D136" s="275"/>
      <c r="E136" s="275"/>
      <c r="F136" s="275">
        <v>91226.00966</v>
      </c>
      <c r="G136" s="277"/>
    </row>
    <row r="137" spans="1:7" s="429" customFormat="1" ht="12.75">
      <c r="A137" s="430" t="s">
        <v>588</v>
      </c>
      <c r="B137" s="400"/>
      <c r="C137" s="400" t="s">
        <v>589</v>
      </c>
      <c r="D137" s="271"/>
      <c r="E137" s="271"/>
      <c r="F137" s="271">
        <v>0</v>
      </c>
      <c r="G137" s="432"/>
    </row>
    <row r="138" spans="1:7" s="429" customFormat="1" ht="12.75">
      <c r="A138" s="428">
        <v>204</v>
      </c>
      <c r="B138" s="411"/>
      <c r="C138" s="411" t="s">
        <v>590</v>
      </c>
      <c r="D138" s="275"/>
      <c r="E138" s="275"/>
      <c r="F138" s="275">
        <v>32127.20772</v>
      </c>
      <c r="G138" s="413"/>
    </row>
    <row r="139" spans="1:7" s="429" customFormat="1" ht="12.75">
      <c r="A139" s="428">
        <v>205</v>
      </c>
      <c r="B139" s="411"/>
      <c r="C139" s="411" t="s">
        <v>591</v>
      </c>
      <c r="D139" s="275"/>
      <c r="E139" s="275"/>
      <c r="F139" s="275">
        <v>9148.2362</v>
      </c>
      <c r="G139" s="413"/>
    </row>
    <row r="140" spans="1:7" s="429" customFormat="1" ht="12.75">
      <c r="A140" s="427" t="s">
        <v>373</v>
      </c>
      <c r="B140" s="398"/>
      <c r="C140" s="398" t="s">
        <v>592</v>
      </c>
      <c r="D140" s="394">
        <f>D141+D143+D144</f>
        <v>0</v>
      </c>
      <c r="E140" s="394">
        <f>E141+E143+E144</f>
        <v>0</v>
      </c>
      <c r="F140" s="394">
        <f>F141+F143+F144</f>
        <v>286319.36725</v>
      </c>
      <c r="G140" s="395">
        <f>G141+G143+G144</f>
        <v>0</v>
      </c>
    </row>
    <row r="141" spans="1:7" s="429" customFormat="1" ht="12.75">
      <c r="A141" s="428">
        <v>206</v>
      </c>
      <c r="B141" s="411"/>
      <c r="C141" s="411" t="s">
        <v>593</v>
      </c>
      <c r="D141" s="275"/>
      <c r="E141" s="275"/>
      <c r="F141" s="275">
        <v>280915.87379</v>
      </c>
      <c r="G141" s="413"/>
    </row>
    <row r="142" spans="1:7" s="429" customFormat="1" ht="12.75">
      <c r="A142" s="430" t="s">
        <v>594</v>
      </c>
      <c r="B142" s="400"/>
      <c r="C142" s="400" t="s">
        <v>595</v>
      </c>
      <c r="D142" s="271"/>
      <c r="E142" s="271"/>
      <c r="F142" s="271">
        <v>0</v>
      </c>
      <c r="G142" s="432"/>
    </row>
    <row r="143" spans="1:7" s="429" customFormat="1" ht="12.75">
      <c r="A143" s="428">
        <v>208</v>
      </c>
      <c r="B143" s="411"/>
      <c r="C143" s="411" t="s">
        <v>596</v>
      </c>
      <c r="D143" s="275"/>
      <c r="E143" s="275"/>
      <c r="F143" s="275">
        <v>0</v>
      </c>
      <c r="G143" s="413"/>
    </row>
    <row r="144" spans="1:7" s="433" customFormat="1" ht="25.5">
      <c r="A144" s="414">
        <v>209</v>
      </c>
      <c r="B144" s="415"/>
      <c r="C144" s="415" t="s">
        <v>597</v>
      </c>
      <c r="D144" s="281"/>
      <c r="E144" s="281"/>
      <c r="F144" s="281">
        <v>5403.49346</v>
      </c>
      <c r="G144" s="417"/>
    </row>
    <row r="145" spans="1:7" s="396" customFormat="1" ht="12.75">
      <c r="A145" s="427">
        <v>29</v>
      </c>
      <c r="B145" s="398"/>
      <c r="C145" s="398" t="s">
        <v>598</v>
      </c>
      <c r="D145" s="412"/>
      <c r="E145" s="412"/>
      <c r="F145" s="412">
        <v>216354.03281</v>
      </c>
      <c r="G145" s="413"/>
    </row>
    <row r="146" spans="1:7" s="396" customFormat="1" ht="12.75">
      <c r="A146" s="434" t="s">
        <v>599</v>
      </c>
      <c r="B146" s="435"/>
      <c r="C146" s="435" t="s">
        <v>600</v>
      </c>
      <c r="D146" s="306"/>
      <c r="E146" s="306"/>
      <c r="F146" s="332">
        <v>201432.01172</v>
      </c>
      <c r="G146" s="436"/>
    </row>
    <row r="147" spans="1:7" s="250" customFormat="1" ht="12.75">
      <c r="A147" s="422">
        <v>2</v>
      </c>
      <c r="B147" s="423"/>
      <c r="C147" s="422" t="s">
        <v>601</v>
      </c>
      <c r="D147" s="424">
        <f>D133+D145</f>
        <v>0</v>
      </c>
      <c r="E147" s="424">
        <f>E133+E145</f>
        <v>0</v>
      </c>
      <c r="F147" s="424">
        <f>F133+F145</f>
        <v>702370.8934</v>
      </c>
      <c r="G147" s="424">
        <f>G133+G145</f>
        <v>0</v>
      </c>
    </row>
    <row r="148" spans="4:6" ht="7.5" customHeight="1">
      <c r="D148" s="250"/>
      <c r="F148" s="250"/>
    </row>
    <row r="149" spans="1:7" ht="13.5" customHeight="1">
      <c r="A149" s="437" t="s">
        <v>602</v>
      </c>
      <c r="B149" s="438"/>
      <c r="C149" s="439"/>
      <c r="D149" s="438"/>
      <c r="E149" s="438"/>
      <c r="F149" s="438"/>
      <c r="G149" s="438"/>
    </row>
    <row r="150" spans="1:7" ht="12.75">
      <c r="A150" s="509" t="s">
        <v>603</v>
      </c>
      <c r="B150" s="509"/>
      <c r="C150" s="509" t="s">
        <v>156</v>
      </c>
      <c r="D150" s="442">
        <f>D77+SUM(D8:D12)-D30-D31+D16-D33+D59+D63-D73+D64-D74-D54+D20-D35</f>
        <v>0</v>
      </c>
      <c r="E150" s="442">
        <f>E77+SUM(E8:E12)-E30-E31+E16-E33+E59+E63-E73+E64-E74-E54+E20-E35</f>
        <v>39460.39999999995</v>
      </c>
      <c r="F150" s="442">
        <f>F77+SUM(F8:F12)-F30-F31+F16-F33+F59+F63-F73+F64-F74-F54+F20-F35</f>
        <v>36177.805490000086</v>
      </c>
      <c r="G150" s="442">
        <f>G77+SUM(G8:G12)-G30-G31+G16-G33+G59+G63-G73+G64-G74-G54+G20-G35</f>
        <v>38024.6</v>
      </c>
    </row>
    <row r="151" spans="1:7" ht="12.75">
      <c r="A151" s="510" t="s">
        <v>604</v>
      </c>
      <c r="B151" s="510"/>
      <c r="C151" s="510" t="s">
        <v>605</v>
      </c>
      <c r="D151" s="445">
        <f>IF(D177=0,0,D150/D177)</f>
        <v>0</v>
      </c>
      <c r="E151" s="445">
        <f>IF(E177=0,0,E150/E177)</f>
        <v>0.0539962276915464</v>
      </c>
      <c r="F151" s="445">
        <f>IF(F177=0,0,F150/F177)</f>
        <v>0.049149902663690466</v>
      </c>
      <c r="G151" s="445">
        <f>IF(G177=0,0,G150/G177)</f>
        <v>0.04995170299331093</v>
      </c>
    </row>
    <row r="152" spans="1:7" s="449" customFormat="1" ht="25.5">
      <c r="A152" s="511" t="s">
        <v>606</v>
      </c>
      <c r="B152" s="511"/>
      <c r="C152" s="511" t="s">
        <v>607</v>
      </c>
      <c r="D152" s="591">
        <f>IF(IF(D107=0,0,D$150/D107)&lt;0,"negativ",(IF(D107=0,0,D$150/D107)))</f>
        <v>0</v>
      </c>
      <c r="E152" s="591">
        <f>IF(IF(E107=0,0,E$150/E107)&lt;0,"negativ",(IF(E107=0,0,E$150/E107)))</f>
        <v>0.9558742308996645</v>
      </c>
      <c r="F152" s="591">
        <f>IF(IF(F107=0,0,F$150/F107)&lt;0,"negativ",(IF(F107=0,0,F$150/F107)))</f>
        <v>0.9560001493501306</v>
      </c>
      <c r="G152" s="591">
        <f>IF(IF(G107=0,0,G$150/G107)&lt;0,"negativ",(IF(G107=0,0,G$150/G107)))</f>
        <v>0.9907761096027473</v>
      </c>
    </row>
    <row r="153" spans="1:7" s="449" customFormat="1" ht="25.5">
      <c r="A153" s="512" t="s">
        <v>606</v>
      </c>
      <c r="B153" s="512"/>
      <c r="C153" s="512" t="s">
        <v>608</v>
      </c>
      <c r="D153" s="592">
        <f>IF(IF(D108=0,0,D$150/D108)&lt;0,"negativ",(IF(D108=0,0,D$150/D108)))</f>
        <v>0</v>
      </c>
      <c r="E153" s="592">
        <f>IF(IF(E108=0,0,E$150/E108)&lt;0,"negativ",(IF(E108=0,0,E$150/E108)))</f>
        <v>0.92788833473244</v>
      </c>
      <c r="F153" s="592">
        <f>IF(IF(F108=0,0,F$150/F108)&lt;0,"negativ",(IF(F108=0,0,F$150/F108)))</f>
        <v>0.9215463040377653</v>
      </c>
      <c r="G153" s="592">
        <f>IF(IF(G108=0,0,G$150/G108)&lt;0,"negativ",(IF(G108=0,0,G$150/G108)))</f>
        <v>0.9571403040226747</v>
      </c>
    </row>
    <row r="154" spans="1:7" ht="25.5">
      <c r="A154" s="513" t="s">
        <v>609</v>
      </c>
      <c r="B154" s="513"/>
      <c r="C154" s="513" t="s">
        <v>610</v>
      </c>
      <c r="D154" s="455">
        <f>D150-D107</f>
        <v>0</v>
      </c>
      <c r="E154" s="455">
        <f>E150-E107</f>
        <v>-1821.6000000000495</v>
      </c>
      <c r="F154" s="455">
        <f>F150-F107</f>
        <v>-1665.0813699999053</v>
      </c>
      <c r="G154" s="455">
        <f>G150-G107</f>
        <v>-354</v>
      </c>
    </row>
    <row r="155" spans="1:7" ht="27" customHeight="1">
      <c r="A155" s="512" t="s">
        <v>611</v>
      </c>
      <c r="B155" s="512"/>
      <c r="C155" s="512" t="s">
        <v>612</v>
      </c>
      <c r="D155" s="456">
        <f>D150-D108</f>
        <v>0</v>
      </c>
      <c r="E155" s="456">
        <f>E150-E108</f>
        <v>-3066.700000000048</v>
      </c>
      <c r="F155" s="456">
        <f>F150-F108</f>
        <v>-3079.913119999903</v>
      </c>
      <c r="G155" s="456">
        <f>G150-G108</f>
        <v>-1702.699999999997</v>
      </c>
    </row>
    <row r="156" spans="1:7" ht="12.75">
      <c r="A156" s="509" t="s">
        <v>613</v>
      </c>
      <c r="B156" s="509"/>
      <c r="C156" s="509" t="s">
        <v>614</v>
      </c>
      <c r="D156" s="457">
        <f>D135+D136-D137+D141-D142</f>
        <v>0</v>
      </c>
      <c r="E156" s="457">
        <f>E135+E136-E137+E141-E142</f>
        <v>0</v>
      </c>
      <c r="F156" s="457">
        <f>F135+F136-F137+F141-F142</f>
        <v>439337.92321</v>
      </c>
      <c r="G156" s="457">
        <f>G135+G136-G137+G141-G142</f>
        <v>0</v>
      </c>
    </row>
    <row r="157" spans="1:7" ht="12.75">
      <c r="A157" s="514" t="s">
        <v>615</v>
      </c>
      <c r="B157" s="514"/>
      <c r="C157" s="514" t="s">
        <v>616</v>
      </c>
      <c r="D157" s="460">
        <f>IF(D177=0,0,D156/D177)</f>
        <v>0</v>
      </c>
      <c r="E157" s="460">
        <f>IF(E177=0,0,E156/E177)</f>
        <v>0</v>
      </c>
      <c r="F157" s="460">
        <f>IF(F177=0,0,F156/F177)</f>
        <v>0.5968691541616048</v>
      </c>
      <c r="G157" s="460">
        <f>IF(G177=0,0,G156/G177)</f>
        <v>0</v>
      </c>
    </row>
    <row r="158" spans="1:7" ht="12.75">
      <c r="A158" s="509" t="s">
        <v>617</v>
      </c>
      <c r="B158" s="509"/>
      <c r="C158" s="509" t="s">
        <v>618</v>
      </c>
      <c r="D158" s="457">
        <f>D133-D142-D111</f>
        <v>0</v>
      </c>
      <c r="E158" s="457">
        <f>E133-E142-E111</f>
        <v>0</v>
      </c>
      <c r="F158" s="457">
        <f>F133-F142-F111</f>
        <v>254564.06028</v>
      </c>
      <c r="G158" s="457">
        <f>G133-G142-G111</f>
        <v>0</v>
      </c>
    </row>
    <row r="159" spans="1:7" ht="12.75">
      <c r="A159" s="510" t="s">
        <v>619</v>
      </c>
      <c r="B159" s="510"/>
      <c r="C159" s="510" t="s">
        <v>620</v>
      </c>
      <c r="D159" s="461">
        <f>D121-D123-D124-D142-D145</f>
        <v>0</v>
      </c>
      <c r="E159" s="461">
        <f>E121-E123-E124-E142-E145</f>
        <v>0</v>
      </c>
      <c r="F159" s="461">
        <f>F121-F123-F124-F142-F145</f>
        <v>136645.04227999994</v>
      </c>
      <c r="G159" s="461">
        <f>G121-G123-G124-G142-G145</f>
        <v>0</v>
      </c>
    </row>
    <row r="160" spans="1:7" ht="12.75">
      <c r="A160" s="510" t="s">
        <v>621</v>
      </c>
      <c r="B160" s="510"/>
      <c r="C160" s="510" t="s">
        <v>622</v>
      </c>
      <c r="D160" s="462" t="str">
        <f>IF(D175=0,"-",1000*D158/D175)</f>
        <v>-</v>
      </c>
      <c r="E160" s="462">
        <f>IF(E175=0,"-",1000*E158/E175)</f>
        <v>0</v>
      </c>
      <c r="F160" s="462">
        <f>IF(F175=0,"-",1000*F158/F175)</f>
        <v>3608.6878778599985</v>
      </c>
      <c r="G160" s="462">
        <f>IF(G175=0,"-",1000*G158/G175)</f>
        <v>0</v>
      </c>
    </row>
    <row r="161" spans="1:7" ht="12.75">
      <c r="A161" s="510" t="s">
        <v>621</v>
      </c>
      <c r="B161" s="510"/>
      <c r="C161" s="510" t="s">
        <v>623</v>
      </c>
      <c r="D161" s="461">
        <f>IF(D175=0,0,1000*(D159/D175))</f>
        <v>0</v>
      </c>
      <c r="E161" s="461">
        <f>IF(E175=0,0,1000*(E159/E175))</f>
        <v>0</v>
      </c>
      <c r="F161" s="461">
        <f>IF(F175=0,0,1000*(F159/F175))</f>
        <v>1937.0735488078014</v>
      </c>
      <c r="G161" s="461">
        <f>IF(G175=0,0,1000*(G159/G175))</f>
        <v>0</v>
      </c>
    </row>
    <row r="162" spans="1:7" ht="12.75">
      <c r="A162" s="514" t="s">
        <v>624</v>
      </c>
      <c r="B162" s="514"/>
      <c r="C162" s="514" t="s">
        <v>625</v>
      </c>
      <c r="D162" s="460">
        <f>IF((D22+D23+D65+D66)=0,0,D158/(D22+D23+D65+D66))</f>
        <v>0</v>
      </c>
      <c r="E162" s="460">
        <f>IF((E22+E23+E65+E66)=0,0,E158/(E22+E23+E65+E66))</f>
        <v>0</v>
      </c>
      <c r="F162" s="460">
        <f>IF((F22+F23+F65+F66)=0,0,F158/(F22+F23+F65+F66))</f>
        <v>0.8164197348103546</v>
      </c>
      <c r="G162" s="460">
        <f>IF((G22+G23+G65+G66)=0,0,G158/(G22+G23+G65+G66))</f>
        <v>0</v>
      </c>
    </row>
    <row r="163" spans="1:7" ht="12.75">
      <c r="A163" s="510" t="s">
        <v>626</v>
      </c>
      <c r="B163" s="510"/>
      <c r="C163" s="510" t="s">
        <v>627</v>
      </c>
      <c r="D163" s="442">
        <f>D145</f>
        <v>0</v>
      </c>
      <c r="E163" s="442">
        <f>E145</f>
        <v>0</v>
      </c>
      <c r="F163" s="442">
        <f>F145</f>
        <v>216354.03281</v>
      </c>
      <c r="G163" s="442">
        <f>G145</f>
        <v>0</v>
      </c>
    </row>
    <row r="164" spans="1:7" ht="25.5">
      <c r="A164" s="512" t="s">
        <v>628</v>
      </c>
      <c r="B164" s="514"/>
      <c r="C164" s="514" t="s">
        <v>629</v>
      </c>
      <c r="D164" s="452">
        <f>IF(D178=0,0,D146/D178)</f>
        <v>0</v>
      </c>
      <c r="E164" s="452">
        <f>IF(E178=0,0,E146/E178)</f>
        <v>0</v>
      </c>
      <c r="F164" s="452">
        <f>IF(F178=0,0,F146/F178)</f>
        <v>0.2710283851775071</v>
      </c>
      <c r="G164" s="452">
        <f>IF(G178=0,0,G146/G178)</f>
        <v>0</v>
      </c>
    </row>
    <row r="165" spans="1:7" ht="12.75">
      <c r="A165" s="515" t="s">
        <v>682</v>
      </c>
      <c r="B165" s="515"/>
      <c r="C165" s="515" t="s">
        <v>631</v>
      </c>
      <c r="D165" s="465">
        <f>IF(D177=0,0,D180/D177)</f>
        <v>0</v>
      </c>
      <c r="E165" s="465">
        <f>IF(E177=0,0,E180/E177)</f>
        <v>0.0587244758888625</v>
      </c>
      <c r="F165" s="465">
        <f>IF(F177=0,0,F180/F177)</f>
        <v>0.05652929527499191</v>
      </c>
      <c r="G165" s="465">
        <f>IF(G177=0,0,G180/G177)</f>
        <v>0.05250902063023751</v>
      </c>
    </row>
    <row r="166" spans="1:7" ht="12.75">
      <c r="A166" s="510" t="s">
        <v>632</v>
      </c>
      <c r="B166" s="510"/>
      <c r="C166" s="510" t="s">
        <v>633</v>
      </c>
      <c r="D166" s="442">
        <f>D55</f>
        <v>0</v>
      </c>
      <c r="E166" s="442">
        <f>E55</f>
        <v>2665.2000000000007</v>
      </c>
      <c r="F166" s="442">
        <f>F55</f>
        <v>3087.9383400000006</v>
      </c>
      <c r="G166" s="442">
        <f>G55</f>
        <v>4205.6</v>
      </c>
    </row>
    <row r="167" spans="1:7" s="449" customFormat="1" ht="25.5">
      <c r="A167" s="512" t="s">
        <v>634</v>
      </c>
      <c r="B167" s="514"/>
      <c r="C167" s="514" t="s">
        <v>635</v>
      </c>
      <c r="D167" s="452">
        <f>IF(0=D111,0,(D44+D45+D46+D47+D48)/D111)</f>
        <v>0</v>
      </c>
      <c r="E167" s="452">
        <f>IF(0=E111,0,(E44+E45+E46+E47+E48)/E111)</f>
        <v>0</v>
      </c>
      <c r="F167" s="452">
        <f>IF(0=F111,0,(F44+F45+F46+F47+F48)/F111)</f>
        <v>0.017978589001414705</v>
      </c>
      <c r="G167" s="452">
        <f>IF(0=G111,0,(G44+G45+G46+G47+G48)/G111)</f>
        <v>0</v>
      </c>
    </row>
    <row r="168" spans="1:7" ht="12.75">
      <c r="A168" s="510" t="s">
        <v>636</v>
      </c>
      <c r="B168" s="509"/>
      <c r="C168" s="509" t="s">
        <v>637</v>
      </c>
      <c r="D168" s="442">
        <f>D38-D44</f>
        <v>0</v>
      </c>
      <c r="E168" s="442">
        <f>E38-E44</f>
        <v>4128.8</v>
      </c>
      <c r="F168" s="442">
        <f>F38-F44</f>
        <v>3119.5145100000004</v>
      </c>
      <c r="G168" s="442">
        <f>G38-G44</f>
        <v>2265.3</v>
      </c>
    </row>
    <row r="169" spans="1:7" ht="12.75">
      <c r="A169" s="514" t="s">
        <v>638</v>
      </c>
      <c r="B169" s="514"/>
      <c r="C169" s="514" t="s">
        <v>639</v>
      </c>
      <c r="D169" s="445">
        <f>IF(D177=0,0,D168/D177)</f>
        <v>0</v>
      </c>
      <c r="E169" s="445">
        <f>IF(E177=0,0,E168/E177)</f>
        <v>0.00564970514472375</v>
      </c>
      <c r="F169" s="445">
        <f>IF(F177=0,0,F168/F177)</f>
        <v>0.004238063432754381</v>
      </c>
      <c r="G169" s="445">
        <f>IF(G177=0,0,G168/G177)</f>
        <v>0.0029758522848563106</v>
      </c>
    </row>
    <row r="170" spans="1:7" ht="12.75">
      <c r="A170" s="510" t="s">
        <v>640</v>
      </c>
      <c r="B170" s="510"/>
      <c r="C170" s="510" t="s">
        <v>641</v>
      </c>
      <c r="D170" s="442">
        <f>SUM(D82:D87)+SUM(D89:D94)</f>
        <v>0</v>
      </c>
      <c r="E170" s="442">
        <f>SUM(E82:E87)+SUM(E89:E94)</f>
        <v>48047.5</v>
      </c>
      <c r="F170" s="442">
        <f>SUM(F82:F87)+SUM(F89:F94)</f>
        <v>44857.11450999999</v>
      </c>
      <c r="G170" s="442">
        <f>SUM(G82:G87)+SUM(G89:G94)</f>
        <v>43866.5</v>
      </c>
    </row>
    <row r="171" spans="1:7" ht="12.75">
      <c r="A171" s="510" t="s">
        <v>642</v>
      </c>
      <c r="B171" s="510"/>
      <c r="C171" s="510" t="s">
        <v>643</v>
      </c>
      <c r="D171" s="461">
        <f>SUM(D96:D102)+SUM(D104:D105)</f>
        <v>0</v>
      </c>
      <c r="E171" s="461">
        <f>SUM(E96:E102)+SUM(E104:E105)</f>
        <v>6765.5</v>
      </c>
      <c r="F171" s="461">
        <f>SUM(F96:F102)+SUM(F104:F105)</f>
        <v>7014.22765</v>
      </c>
      <c r="G171" s="461">
        <f>SUM(G96:G102)+SUM(G104:G105)</f>
        <v>5487.9</v>
      </c>
    </row>
    <row r="172" spans="1:7" ht="12.75">
      <c r="A172" s="515" t="s">
        <v>630</v>
      </c>
      <c r="B172" s="515"/>
      <c r="C172" s="515" t="s">
        <v>644</v>
      </c>
      <c r="D172" s="465">
        <f>IF(D184=0,0,D170/D184)</f>
        <v>0</v>
      </c>
      <c r="E172" s="465">
        <f>IF(E184=0,0,E170/E184)</f>
        <v>0.06543371600997804</v>
      </c>
      <c r="F172" s="465">
        <f>IF(F184=0,0,F170/F184)</f>
        <v>0.06059765732916019</v>
      </c>
      <c r="G172" s="465">
        <f>IF(G184=0,0,G170/G184)</f>
        <v>0.05795505515549827</v>
      </c>
    </row>
    <row r="174" spans="1:7" ht="12.75">
      <c r="A174" s="467" t="s">
        <v>645</v>
      </c>
      <c r="B174" s="468"/>
      <c r="C174" s="467"/>
      <c r="D174" s="364"/>
      <c r="E174" s="364"/>
      <c r="F174" s="364"/>
      <c r="G174" s="364"/>
    </row>
    <row r="175" spans="1:8" s="260" customFormat="1" ht="12.75">
      <c r="A175" s="468" t="s">
        <v>646</v>
      </c>
      <c r="B175" s="468"/>
      <c r="C175" s="468" t="s">
        <v>647</v>
      </c>
      <c r="D175" s="472"/>
      <c r="E175" s="472">
        <v>70500</v>
      </c>
      <c r="F175" s="472">
        <v>70542</v>
      </c>
      <c r="G175" s="472">
        <v>70926</v>
      </c>
      <c r="H175" s="252"/>
    </row>
    <row r="176" spans="1:7" ht="12.75">
      <c r="A176" s="467" t="s">
        <v>648</v>
      </c>
      <c r="B176" s="468"/>
      <c r="C176" s="468"/>
      <c r="D176" s="468"/>
      <c r="E176" s="468"/>
      <c r="F176" s="468"/>
      <c r="G176" s="468"/>
    </row>
    <row r="177" spans="1:7" ht="12.75">
      <c r="A177" s="468" t="s">
        <v>649</v>
      </c>
      <c r="B177" s="468"/>
      <c r="C177" s="468" t="s">
        <v>650</v>
      </c>
      <c r="D177" s="472">
        <f>SUM(D22:D32)+SUM(D44:D53)+SUM(D65:D72)+D75</f>
        <v>0</v>
      </c>
      <c r="E177" s="472">
        <f>SUM(E22:E32)+SUM(E44:E53)+SUM(E65:E72)+E75</f>
        <v>730799.2</v>
      </c>
      <c r="F177" s="472">
        <f>SUM(F22:F32)+SUM(F44:F53)+SUM(F65:F72)+F75</f>
        <v>736070.7454</v>
      </c>
      <c r="G177" s="472">
        <f>SUM(G22:G32)+SUM(G44:G53)+SUM(G65:G72)+G75</f>
        <v>761227.3</v>
      </c>
    </row>
    <row r="178" spans="1:7" ht="12.75">
      <c r="A178" s="468" t="s">
        <v>651</v>
      </c>
      <c r="B178" s="468"/>
      <c r="C178" s="468" t="s">
        <v>652</v>
      </c>
      <c r="D178" s="472">
        <f>D78-D17-D20-D59-D63-D64</f>
        <v>0</v>
      </c>
      <c r="E178" s="472">
        <f>E78-E17-E20-E59-E63-E64</f>
        <v>733979.8</v>
      </c>
      <c r="F178" s="472">
        <f>F78-F17-F20-F59-F63-F64</f>
        <v>743213.7102099999</v>
      </c>
      <c r="G178" s="472">
        <f>G78-G17-G20-G59-G63-G64</f>
        <v>760500.2000000001</v>
      </c>
    </row>
    <row r="179" spans="1:7" ht="12.75">
      <c r="A179" s="468"/>
      <c r="B179" s="468"/>
      <c r="C179" s="468" t="s">
        <v>653</v>
      </c>
      <c r="D179" s="472">
        <f>D178+D170</f>
        <v>0</v>
      </c>
      <c r="E179" s="472">
        <f>E178+E170</f>
        <v>782027.3</v>
      </c>
      <c r="F179" s="472">
        <f>F178+F170</f>
        <v>788070.8247199999</v>
      </c>
      <c r="G179" s="472">
        <f>G178+G170</f>
        <v>804366.7000000001</v>
      </c>
    </row>
    <row r="180" spans="1:7" ht="12.75">
      <c r="A180" s="468" t="s">
        <v>654</v>
      </c>
      <c r="B180" s="468"/>
      <c r="C180" s="468" t="s">
        <v>655</v>
      </c>
      <c r="D180" s="472">
        <f>D38-D44+D8+D9+D10+D16-D33</f>
        <v>0</v>
      </c>
      <c r="E180" s="472">
        <f>E38-E44+E8+E9+E10+E16-E33</f>
        <v>42915.8</v>
      </c>
      <c r="F180" s="472">
        <f>F38-F44+F8+F9+F10+F16-F33</f>
        <v>41609.560509999996</v>
      </c>
      <c r="G180" s="472">
        <f>G38-G44+G8+G9+G10+G16-G33</f>
        <v>39971.3</v>
      </c>
    </row>
    <row r="181" spans="1:7" ht="27" customHeight="1">
      <c r="A181" s="473" t="s">
        <v>656</v>
      </c>
      <c r="B181" s="474"/>
      <c r="C181" s="474" t="s">
        <v>657</v>
      </c>
      <c r="D181" s="475">
        <f>D22+D23+D24+D25+D26+D29+SUM(D44:D47)+SUM(D49:D53)-D54+D32-D33+SUM(D65:D70)+D72</f>
        <v>0</v>
      </c>
      <c r="E181" s="475">
        <f>E22+E23+E24+E25+E26+E29+SUM(E44:E47)+SUM(E49:E53)-E54+E32-E33+SUM(E65:E70)+E72</f>
        <v>725685.6000000001</v>
      </c>
      <c r="F181" s="475">
        <f>F22+F23+F24+F25+F26+F29+SUM(F44:F47)+SUM(F49:F53)-F54+F32-F33+SUM(F65:F70)+F72</f>
        <v>731424.13438</v>
      </c>
      <c r="G181" s="475">
        <f>G22+G23+G24+G25+G26+G29+SUM(G44:G47)+SUM(G49:G53)-G54+G32-G33+SUM(G65:G70)+G72</f>
        <v>751043.1000000001</v>
      </c>
    </row>
    <row r="182" spans="1:7" ht="12.75">
      <c r="A182" s="474" t="s">
        <v>658</v>
      </c>
      <c r="B182" s="474"/>
      <c r="C182" s="474" t="s">
        <v>659</v>
      </c>
      <c r="D182" s="475">
        <f>D181+D171</f>
        <v>0</v>
      </c>
      <c r="E182" s="475">
        <f>E181+E171</f>
        <v>732451.1000000001</v>
      </c>
      <c r="F182" s="475">
        <f>F181+F171</f>
        <v>738438.36203</v>
      </c>
      <c r="G182" s="475">
        <f>G181+G171</f>
        <v>756531.0000000001</v>
      </c>
    </row>
    <row r="183" spans="1:7" ht="12.75">
      <c r="A183" s="474" t="s">
        <v>660</v>
      </c>
      <c r="B183" s="474"/>
      <c r="C183" s="474" t="s">
        <v>683</v>
      </c>
      <c r="D183" s="475">
        <f>D4+D5-D7+D38+D39+D40+D41+D43+D13-D16+D57+D58+D60+D61+D62</f>
        <v>0</v>
      </c>
      <c r="E183" s="475">
        <f>E4+E5-E7+E38+E39+E40+E41+E43+E13-E16+E57+E58+E60+E61+E62</f>
        <v>686245.2</v>
      </c>
      <c r="F183" s="475">
        <f>F4+F5-F7+F38+F39+F40+F41+F43+F13-F16+F57+F58+F60+F61+F62</f>
        <v>695387.9128899999</v>
      </c>
      <c r="G183" s="475">
        <f>G4+G5-G7+G38+G39+G40+G41+G43+G13-G16+G57+G58+G60+G61+G62</f>
        <v>713039</v>
      </c>
    </row>
    <row r="184" spans="1:7" ht="12.75">
      <c r="A184" s="474" t="s">
        <v>661</v>
      </c>
      <c r="B184" s="474"/>
      <c r="C184" s="474" t="s">
        <v>662</v>
      </c>
      <c r="D184" s="475">
        <f>D183+D170</f>
        <v>0</v>
      </c>
      <c r="E184" s="475">
        <f>E183+E170</f>
        <v>734292.7</v>
      </c>
      <c r="F184" s="475">
        <f>F183+F170</f>
        <v>740245.0273999999</v>
      </c>
      <c r="G184" s="475">
        <f>G183+G170</f>
        <v>756905.5</v>
      </c>
    </row>
    <row r="185" spans="1:7" ht="12.75">
      <c r="A185" s="474"/>
      <c r="B185" s="474"/>
      <c r="C185" s="474" t="s">
        <v>663</v>
      </c>
      <c r="D185" s="475">
        <f aca="true" t="shared" si="0" ref="D185:G186">D181-D183</f>
        <v>0</v>
      </c>
      <c r="E185" s="475">
        <f t="shared" si="0"/>
        <v>39440.40000000014</v>
      </c>
      <c r="F185" s="475">
        <f t="shared" si="0"/>
        <v>36036.221490000025</v>
      </c>
      <c r="G185" s="475">
        <f t="shared" si="0"/>
        <v>38004.10000000009</v>
      </c>
    </row>
    <row r="186" spans="1:7" ht="12.75">
      <c r="A186" s="474"/>
      <c r="B186" s="474"/>
      <c r="C186" s="474" t="s">
        <v>664</v>
      </c>
      <c r="D186" s="475">
        <f t="shared" si="0"/>
        <v>0</v>
      </c>
      <c r="E186" s="475">
        <f t="shared" si="0"/>
        <v>-1841.5999999998603</v>
      </c>
      <c r="F186" s="475">
        <f t="shared" si="0"/>
        <v>-1806.6653699999442</v>
      </c>
      <c r="G186" s="475">
        <f t="shared" si="0"/>
        <v>-374.4999999998836</v>
      </c>
    </row>
  </sheetData>
  <sheetProtection selectLockedCells="1"/>
  <mergeCells count="2">
    <mergeCell ref="A3:C3"/>
    <mergeCell ref="A81:C8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&amp;LFachgruppe für kantonale Finanzfragen (FkF)
Groupe d'études pour les finances cantonales
&amp;CRechnung 2011 - Budget 2013
Compte 2011 - Budget 2013&amp;RZürich, 12.9.2013</oddHeader>
    <oddFooter>&amp;LQuelle/Source: FkF Sept. 2013</oddFooter>
  </headerFooter>
  <rowBreaks count="2" manualBreakCount="2">
    <brk id="79" max="6" man="1"/>
    <brk id="147" max="6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43.140625" style="0" customWidth="1"/>
    <col min="3" max="3" width="13.28125" style="0" bestFit="1" customWidth="1"/>
    <col min="4" max="4" width="9.140625" style="0" customWidth="1"/>
    <col min="5" max="5" width="13.28125" style="0" bestFit="1" customWidth="1"/>
    <col min="6" max="6" width="8.28125" style="0" customWidth="1"/>
    <col min="7" max="7" width="10.7109375" style="0" customWidth="1"/>
    <col min="8" max="8" width="9.28125" style="0" customWidth="1"/>
    <col min="9" max="9" width="10.57421875" style="0" customWidth="1"/>
  </cols>
  <sheetData>
    <row r="1" spans="1:9" ht="12.75">
      <c r="A1" s="5" t="s">
        <v>113</v>
      </c>
      <c r="B1" s="6" t="s">
        <v>188</v>
      </c>
      <c r="C1" s="57" t="s">
        <v>115</v>
      </c>
      <c r="D1" s="7" t="s">
        <v>23</v>
      </c>
      <c r="E1" s="57" t="s">
        <v>105</v>
      </c>
      <c r="F1" s="7" t="s">
        <v>23</v>
      </c>
      <c r="G1" s="57" t="s">
        <v>115</v>
      </c>
      <c r="H1" s="7" t="s">
        <v>23</v>
      </c>
      <c r="I1" s="58" t="s">
        <v>105</v>
      </c>
    </row>
    <row r="2" spans="1:9" ht="12.75">
      <c r="A2" s="131">
        <v>0</v>
      </c>
      <c r="B2" s="134">
        <v>0</v>
      </c>
      <c r="C2" s="603">
        <v>2011</v>
      </c>
      <c r="D2" s="3" t="s">
        <v>25</v>
      </c>
      <c r="E2" s="603">
        <v>2012</v>
      </c>
      <c r="F2" s="3" t="s">
        <v>25</v>
      </c>
      <c r="G2" s="604">
        <v>2012</v>
      </c>
      <c r="H2" s="3" t="s">
        <v>25</v>
      </c>
      <c r="I2" s="605">
        <v>2013</v>
      </c>
    </row>
    <row r="3" spans="1:9" ht="12.75">
      <c r="A3" s="131">
        <v>0</v>
      </c>
      <c r="B3" s="2" t="s">
        <v>116</v>
      </c>
      <c r="C3" s="606">
        <v>0</v>
      </c>
      <c r="D3" s="132">
        <v>0</v>
      </c>
      <c r="E3" s="606" t="s">
        <v>102</v>
      </c>
      <c r="F3" s="134">
        <v>0</v>
      </c>
      <c r="G3" s="607">
        <v>0</v>
      </c>
      <c r="H3" s="134">
        <v>0</v>
      </c>
      <c r="I3" s="608" t="s">
        <v>102</v>
      </c>
    </row>
    <row r="4" spans="1:9" ht="12.75">
      <c r="A4" s="5" t="s">
        <v>28</v>
      </c>
      <c r="B4" s="9" t="s">
        <v>117</v>
      </c>
      <c r="C4" s="10">
        <v>26971260.830670465</v>
      </c>
      <c r="D4" s="11">
        <v>-0.12477777667825882</v>
      </c>
      <c r="E4" s="10">
        <v>23605846.870009996</v>
      </c>
      <c r="F4" s="11">
        <v>0.014442004257984007</v>
      </c>
      <c r="G4" s="10">
        <v>23946762.61102</v>
      </c>
      <c r="H4" s="11">
        <v>-0.017738064469312587</v>
      </c>
      <c r="I4" s="12">
        <v>23521993.3919944</v>
      </c>
    </row>
    <row r="5" spans="1:9" ht="12.75">
      <c r="A5" s="13" t="s">
        <v>30</v>
      </c>
      <c r="B5" s="14" t="s">
        <v>118</v>
      </c>
      <c r="C5" s="15">
        <v>8611461.831219973</v>
      </c>
      <c r="D5" s="16">
        <v>-0.035339947551838495</v>
      </c>
      <c r="E5" s="15">
        <v>8307133.22176</v>
      </c>
      <c r="F5" s="16">
        <v>-0.00850674495924699</v>
      </c>
      <c r="G5" s="15">
        <v>8236466.5581</v>
      </c>
      <c r="H5" s="16">
        <v>0.025310496484076055</v>
      </c>
      <c r="I5" s="17">
        <v>8444935.61596</v>
      </c>
    </row>
    <row r="6" spans="1:9" ht="12.75">
      <c r="A6" s="13" t="s">
        <v>119</v>
      </c>
      <c r="B6" s="14" t="s">
        <v>120</v>
      </c>
      <c r="C6" s="15">
        <v>1080928.4081799998</v>
      </c>
      <c r="D6" s="16">
        <v>-0.013192985837064759</v>
      </c>
      <c r="E6" s="15">
        <v>1066667.735</v>
      </c>
      <c r="F6" s="16">
        <v>0.020669720810482718</v>
      </c>
      <c r="G6" s="15">
        <v>1088715.45928</v>
      </c>
      <c r="H6" s="16">
        <v>-0.02275019893295186</v>
      </c>
      <c r="I6" s="17">
        <v>1063946.966</v>
      </c>
    </row>
    <row r="7" spans="1:9" ht="12.75">
      <c r="A7" s="13" t="s">
        <v>34</v>
      </c>
      <c r="B7" s="14" t="s">
        <v>121</v>
      </c>
      <c r="C7" s="15">
        <v>1064260.52594</v>
      </c>
      <c r="D7" s="16">
        <v>0.02608927267642115</v>
      </c>
      <c r="E7" s="15">
        <v>1092026.3090000001</v>
      </c>
      <c r="F7" s="16">
        <v>-0.11320327505955734</v>
      </c>
      <c r="G7" s="15">
        <v>968405.35437</v>
      </c>
      <c r="H7" s="16">
        <v>0.06348912916740143</v>
      </c>
      <c r="I7" s="17">
        <v>1029888.567</v>
      </c>
    </row>
    <row r="8" spans="1:9" ht="12.75">
      <c r="A8" s="13" t="s">
        <v>36</v>
      </c>
      <c r="B8" s="14" t="s">
        <v>122</v>
      </c>
      <c r="C8" s="15">
        <v>826862.5472200001</v>
      </c>
      <c r="D8" s="16">
        <v>-0.38193361675622567</v>
      </c>
      <c r="E8" s="15">
        <v>511055.944</v>
      </c>
      <c r="F8" s="16">
        <v>0.5081580408347623</v>
      </c>
      <c r="G8" s="15">
        <v>770753.13126</v>
      </c>
      <c r="H8" s="16">
        <v>0.32257624089512776</v>
      </c>
      <c r="I8" s="17">
        <v>1019379.7789999999</v>
      </c>
    </row>
    <row r="9" spans="1:9" ht="12.75">
      <c r="A9" s="13" t="s">
        <v>38</v>
      </c>
      <c r="B9" s="14" t="s">
        <v>123</v>
      </c>
      <c r="C9" s="15">
        <v>4187013.5076999995</v>
      </c>
      <c r="D9" s="16">
        <v>-0.057143764938898195</v>
      </c>
      <c r="E9" s="15">
        <v>3947751.792019999</v>
      </c>
      <c r="F9" s="16">
        <v>0.1835369924483669</v>
      </c>
      <c r="G9" s="15">
        <v>4672310.282860001</v>
      </c>
      <c r="H9" s="16">
        <v>-0.16659006049220532</v>
      </c>
      <c r="I9" s="17">
        <v>3893949.8302</v>
      </c>
    </row>
    <row r="10" spans="1:9" ht="12.75">
      <c r="A10" s="13" t="s">
        <v>40</v>
      </c>
      <c r="B10" s="14" t="s">
        <v>124</v>
      </c>
      <c r="C10" s="15">
        <v>40488313.8427</v>
      </c>
      <c r="D10" s="16">
        <v>0.07000629646648143</v>
      </c>
      <c r="E10" s="15">
        <v>43322750.745</v>
      </c>
      <c r="F10" s="16">
        <v>0.019742248344161772</v>
      </c>
      <c r="G10" s="15">
        <v>44178039.24916001</v>
      </c>
      <c r="H10" s="16">
        <v>0.019524379673694844</v>
      </c>
      <c r="I10" s="17">
        <v>45040588.0607</v>
      </c>
    </row>
    <row r="11" spans="1:9" ht="12.75">
      <c r="A11" s="13" t="s">
        <v>125</v>
      </c>
      <c r="B11" s="14" t="s">
        <v>126</v>
      </c>
      <c r="C11" s="15">
        <v>5278946.23487</v>
      </c>
      <c r="D11" s="43">
        <v>0.4512931793836823</v>
      </c>
      <c r="E11" s="15">
        <v>7661298.665000001</v>
      </c>
      <c r="F11" s="16">
        <v>-0.09180604208568602</v>
      </c>
      <c r="G11" s="15">
        <v>6957945.157330001</v>
      </c>
      <c r="H11" s="16">
        <v>0.08462228565422344</v>
      </c>
      <c r="I11" s="17">
        <v>7546742.380000001</v>
      </c>
    </row>
    <row r="12" spans="1:9" ht="12.75">
      <c r="A12" s="13" t="s">
        <v>127</v>
      </c>
      <c r="B12" s="14" t="s">
        <v>128</v>
      </c>
      <c r="C12" s="15">
        <v>3009713.46865</v>
      </c>
      <c r="D12" s="43">
        <v>0.010567586808941628</v>
      </c>
      <c r="E12" s="15">
        <v>3041518.877</v>
      </c>
      <c r="F12" s="16">
        <v>-0.010147488645686832</v>
      </c>
      <c r="G12" s="15">
        <v>3010655.09873</v>
      </c>
      <c r="H12" s="16">
        <v>0.08459058331770694</v>
      </c>
      <c r="I12" s="17">
        <v>3265328.1696999995</v>
      </c>
    </row>
    <row r="13" spans="1:9" ht="12.75">
      <c r="A13" s="13" t="s">
        <v>129</v>
      </c>
      <c r="B13" s="14" t="s">
        <v>130</v>
      </c>
      <c r="C13" s="15">
        <v>6677037.886580001</v>
      </c>
      <c r="D13" s="43">
        <v>-0.052552091442411825</v>
      </c>
      <c r="E13" s="15">
        <v>6326145.581</v>
      </c>
      <c r="F13" s="43">
        <v>0.058760663013581814</v>
      </c>
      <c r="G13" s="15">
        <v>6697874.089660001</v>
      </c>
      <c r="H13" s="43">
        <v>-0.1159277248670133</v>
      </c>
      <c r="I13" s="17">
        <v>5921404.784999999</v>
      </c>
    </row>
    <row r="14" spans="1:9" ht="12.75">
      <c r="A14" s="13" t="s">
        <v>131</v>
      </c>
      <c r="B14" s="14" t="s">
        <v>132</v>
      </c>
      <c r="C14" s="15">
        <v>687965.8214199999</v>
      </c>
      <c r="D14" s="43">
        <v>-0.304854710641157</v>
      </c>
      <c r="E14" s="15">
        <v>478236.19999999995</v>
      </c>
      <c r="F14" s="16">
        <v>0.5629286034181439</v>
      </c>
      <c r="G14" s="15">
        <v>747449.0361700001</v>
      </c>
      <c r="H14" s="16">
        <v>-0.10101670149565527</v>
      </c>
      <c r="I14" s="17">
        <v>671944.2</v>
      </c>
    </row>
    <row r="15" spans="1:9" ht="12.75">
      <c r="A15" s="13" t="s">
        <v>133</v>
      </c>
      <c r="B15" s="14" t="s">
        <v>134</v>
      </c>
      <c r="C15" s="15">
        <v>444554.2974</v>
      </c>
      <c r="D15" s="43">
        <v>0.4938438428871208</v>
      </c>
      <c r="E15" s="15">
        <v>664094.7</v>
      </c>
      <c r="F15" s="16">
        <v>0.01427323295909471</v>
      </c>
      <c r="G15" s="15">
        <v>673573.4783600001</v>
      </c>
      <c r="H15" s="16">
        <v>0.05903137358794378</v>
      </c>
      <c r="I15" s="17">
        <v>713335.446</v>
      </c>
    </row>
    <row r="16" spans="1:9" ht="12.75">
      <c r="A16" s="13" t="s">
        <v>135</v>
      </c>
      <c r="B16" s="14" t="s">
        <v>136</v>
      </c>
      <c r="C16" s="15">
        <v>920675.4490600001</v>
      </c>
      <c r="D16" s="43">
        <v>-0.2918728302512688</v>
      </c>
      <c r="E16" s="15">
        <v>651955.3</v>
      </c>
      <c r="F16" s="43">
        <v>0.009717134062718603</v>
      </c>
      <c r="G16" s="15">
        <v>658290.437053</v>
      </c>
      <c r="H16" s="43">
        <v>-0.34583418539721356</v>
      </c>
      <c r="I16" s="17">
        <v>430631.10000000003</v>
      </c>
    </row>
    <row r="17" spans="1:9" ht="12.75">
      <c r="A17" s="13" t="s">
        <v>55</v>
      </c>
      <c r="B17" s="14" t="s">
        <v>137</v>
      </c>
      <c r="C17" s="15">
        <v>1115934.92815</v>
      </c>
      <c r="D17" s="16">
        <v>-0.6862880619926764</v>
      </c>
      <c r="E17" s="15">
        <v>350082.109</v>
      </c>
      <c r="F17" s="16">
        <v>0.9842602432162568</v>
      </c>
      <c r="G17" s="15">
        <v>694654.0107500001</v>
      </c>
      <c r="H17" s="16">
        <v>-0.5267881953994751</v>
      </c>
      <c r="I17" s="17">
        <v>328718.478</v>
      </c>
    </row>
    <row r="18" spans="1:9" ht="12.75">
      <c r="A18" s="13">
        <v>389</v>
      </c>
      <c r="B18" s="14" t="s">
        <v>138</v>
      </c>
      <c r="C18" s="15">
        <v>124414.09999999999</v>
      </c>
      <c r="D18" s="43">
        <v>-0.9964401141028228</v>
      </c>
      <c r="E18" s="15">
        <v>442.9</v>
      </c>
      <c r="F18" s="43">
        <v>4.332196884172499</v>
      </c>
      <c r="G18" s="15">
        <v>2361.63</v>
      </c>
      <c r="H18" s="43">
        <v>-0.7023665857903227</v>
      </c>
      <c r="I18" s="17">
        <v>702.9</v>
      </c>
    </row>
    <row r="19" spans="1:9" ht="12.75">
      <c r="A19" s="18" t="s">
        <v>58</v>
      </c>
      <c r="B19" s="19" t="s">
        <v>139</v>
      </c>
      <c r="C19" s="20">
        <v>2672933.8764999993</v>
      </c>
      <c r="D19" s="43">
        <v>-0.0029557040559283075</v>
      </c>
      <c r="E19" s="20">
        <v>2665033.475</v>
      </c>
      <c r="F19" s="43">
        <v>-0.08020205349578201</v>
      </c>
      <c r="G19" s="20">
        <v>2451292.3176700003</v>
      </c>
      <c r="H19" s="43">
        <v>-0.03713555866585752</v>
      </c>
      <c r="I19" s="21">
        <v>2360262.208</v>
      </c>
    </row>
    <row r="20" spans="1:9" ht="12.75">
      <c r="A20" s="22" t="s">
        <v>60</v>
      </c>
      <c r="B20" s="23" t="s">
        <v>140</v>
      </c>
      <c r="C20" s="24">
        <v>86062455.99010043</v>
      </c>
      <c r="D20" s="25">
        <v>-0.02626386382199498</v>
      </c>
      <c r="E20" s="24">
        <v>83802123.36579</v>
      </c>
      <c r="F20" s="25">
        <v>0.025284822082025968</v>
      </c>
      <c r="G20" s="24">
        <v>85921045.14518999</v>
      </c>
      <c r="H20" s="25">
        <v>-0.0032660952140582127</v>
      </c>
      <c r="I20" s="26">
        <v>85640418.8308544</v>
      </c>
    </row>
    <row r="21" spans="1:9" ht="12.75">
      <c r="A21" s="27" t="s">
        <v>62</v>
      </c>
      <c r="B21" s="28" t="s">
        <v>141</v>
      </c>
      <c r="C21" s="10">
        <v>37646923.17659999</v>
      </c>
      <c r="D21" s="16">
        <v>-0.013783364822825994</v>
      </c>
      <c r="E21" s="10">
        <v>37128021.900000006</v>
      </c>
      <c r="F21" s="16">
        <v>0.020359823431368676</v>
      </c>
      <c r="G21" s="10">
        <v>37883941.870239995</v>
      </c>
      <c r="H21" s="16">
        <v>0.001565454829466712</v>
      </c>
      <c r="I21" s="12">
        <v>37943247.47</v>
      </c>
    </row>
    <row r="22" spans="1:9" ht="12.75">
      <c r="A22" s="8" t="s">
        <v>64</v>
      </c>
      <c r="B22" s="29" t="s">
        <v>142</v>
      </c>
      <c r="C22" s="15">
        <v>3233448.5451700008</v>
      </c>
      <c r="D22" s="16">
        <v>0.06366695555972607</v>
      </c>
      <c r="E22" s="15">
        <v>3439312.37</v>
      </c>
      <c r="F22" s="16">
        <v>0.052514449727053984</v>
      </c>
      <c r="G22" s="15">
        <v>3619925.96655</v>
      </c>
      <c r="H22" s="16">
        <v>-0.026390861976950453</v>
      </c>
      <c r="I22" s="17">
        <v>3524393</v>
      </c>
    </row>
    <row r="23" spans="1:9" ht="12.75">
      <c r="A23" s="8" t="s">
        <v>66</v>
      </c>
      <c r="B23" s="29" t="s">
        <v>143</v>
      </c>
      <c r="C23" s="15">
        <v>3914342.2751599993</v>
      </c>
      <c r="D23" s="16">
        <v>-0.2614185827983509</v>
      </c>
      <c r="E23" s="15">
        <v>2891060.465</v>
      </c>
      <c r="F23" s="16">
        <v>0.15705300690762308</v>
      </c>
      <c r="G23" s="15">
        <v>3345110.204180001</v>
      </c>
      <c r="H23" s="16">
        <v>-0.0794664438402749</v>
      </c>
      <c r="I23" s="17">
        <v>3079286.1920000003</v>
      </c>
    </row>
    <row r="24" spans="1:9" ht="12.75">
      <c r="A24" s="8" t="s">
        <v>68</v>
      </c>
      <c r="B24" s="29" t="s">
        <v>144</v>
      </c>
      <c r="C24" s="15">
        <v>10805182.066570003</v>
      </c>
      <c r="D24" s="16">
        <v>-0.1897101481669625</v>
      </c>
      <c r="E24" s="15">
        <v>8755329.375750002</v>
      </c>
      <c r="F24" s="16">
        <v>0.07202243640274023</v>
      </c>
      <c r="G24" s="15">
        <v>9385909.5289</v>
      </c>
      <c r="H24" s="16">
        <v>0.005148677467133378</v>
      </c>
      <c r="I24" s="17">
        <v>9434234.5498</v>
      </c>
    </row>
    <row r="25" spans="1:9" ht="12.75">
      <c r="A25" s="8" t="s">
        <v>70</v>
      </c>
      <c r="B25" s="29" t="s">
        <v>124</v>
      </c>
      <c r="C25" s="15">
        <v>26260960.69686</v>
      </c>
      <c r="D25" s="16">
        <v>0.010425232199244681</v>
      </c>
      <c r="E25" s="15">
        <v>26534737.309900004</v>
      </c>
      <c r="F25" s="16">
        <v>0.027462791686206415</v>
      </c>
      <c r="G25" s="15">
        <v>27263455.273089997</v>
      </c>
      <c r="H25" s="16">
        <v>0.008211021059057265</v>
      </c>
      <c r="I25" s="17">
        <v>27487316.078480005</v>
      </c>
    </row>
    <row r="26" spans="1:9" ht="12.75">
      <c r="A26" s="59" t="s">
        <v>72</v>
      </c>
      <c r="B26" s="29" t="s">
        <v>145</v>
      </c>
      <c r="C26" s="15">
        <v>749625.95145</v>
      </c>
      <c r="D26" s="16">
        <v>0.5772167208366198</v>
      </c>
      <c r="E26" s="15">
        <v>1182322.5850000002</v>
      </c>
      <c r="F26" s="16">
        <v>-0.13180654821881804</v>
      </c>
      <c r="G26" s="15">
        <v>1026484.7261900001</v>
      </c>
      <c r="H26" s="16">
        <v>0.03285045230547181</v>
      </c>
      <c r="I26" s="17">
        <v>1060205.21373</v>
      </c>
    </row>
    <row r="27" spans="1:9" ht="12.75">
      <c r="A27" s="195">
        <v>489</v>
      </c>
      <c r="B27" s="29" t="s">
        <v>175</v>
      </c>
      <c r="C27" s="15">
        <v>67319.7</v>
      </c>
      <c r="D27" s="16">
        <v>2.2006322072142335</v>
      </c>
      <c r="E27" s="15">
        <v>215465.6</v>
      </c>
      <c r="F27" s="16">
        <v>-0.24311321886185083</v>
      </c>
      <c r="G27" s="15">
        <v>163083.06443</v>
      </c>
      <c r="H27" s="16">
        <v>-0.14250057405546881</v>
      </c>
      <c r="I27" s="17">
        <v>139843.63413</v>
      </c>
    </row>
    <row r="28" spans="1:9" ht="12.75">
      <c r="A28" s="30" t="s">
        <v>75</v>
      </c>
      <c r="B28" s="31" t="s">
        <v>139</v>
      </c>
      <c r="C28" s="20">
        <v>2672942.9030199996</v>
      </c>
      <c r="D28" s="16">
        <v>-0.0032265910020955737</v>
      </c>
      <c r="E28" s="20">
        <v>2664318.4095</v>
      </c>
      <c r="F28" s="16">
        <v>-0.07995556990126322</v>
      </c>
      <c r="G28" s="20">
        <v>2451291.3126700004</v>
      </c>
      <c r="H28" s="16">
        <v>-0.03740039488417281</v>
      </c>
      <c r="I28" s="21">
        <v>2359612.0496</v>
      </c>
    </row>
    <row r="29" spans="1:9" ht="12.75">
      <c r="A29" s="51" t="s">
        <v>77</v>
      </c>
      <c r="B29" s="52" t="s">
        <v>146</v>
      </c>
      <c r="C29" s="24">
        <v>85350745.31482999</v>
      </c>
      <c r="D29" s="53">
        <v>-0.02976162996948815</v>
      </c>
      <c r="E29" s="24">
        <v>82810568.01515</v>
      </c>
      <c r="F29" s="53">
        <v>0.028120009159627944</v>
      </c>
      <c r="G29" s="24">
        <v>85139201.94625</v>
      </c>
      <c r="H29" s="54">
        <v>-0.0013044961189571662</v>
      </c>
      <c r="I29" s="26">
        <v>85028138.18774001</v>
      </c>
    </row>
    <row r="30" spans="1:9" ht="12.75">
      <c r="A30" s="50" t="s">
        <v>79</v>
      </c>
      <c r="B30" s="32" t="s">
        <v>147</v>
      </c>
      <c r="C30" s="33">
        <v>-711710.6752704452</v>
      </c>
      <c r="D30" s="136">
        <v>0</v>
      </c>
      <c r="E30" s="33">
        <v>-991555.3506399997</v>
      </c>
      <c r="F30" s="136">
        <v>0</v>
      </c>
      <c r="G30" s="34">
        <v>-781843.1989399968</v>
      </c>
      <c r="H30" s="137">
        <v>0</v>
      </c>
      <c r="I30" s="35">
        <v>-612280.6431144049</v>
      </c>
    </row>
    <row r="31" spans="1:9" ht="12.75">
      <c r="A31" s="140">
        <v>0</v>
      </c>
      <c r="B31" s="28" t="s">
        <v>148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>
        <v>0</v>
      </c>
      <c r="I31" s="139">
        <v>0</v>
      </c>
    </row>
    <row r="32" spans="1:9" ht="12.75">
      <c r="A32" s="59" t="s">
        <v>82</v>
      </c>
      <c r="B32" s="29" t="s">
        <v>149</v>
      </c>
      <c r="C32" s="15">
        <v>5067319.241089999</v>
      </c>
      <c r="D32" s="16">
        <v>-0.018212727420376093</v>
      </c>
      <c r="E32" s="15">
        <v>4975029.537</v>
      </c>
      <c r="F32" s="16">
        <v>-0.048165360361758926</v>
      </c>
      <c r="G32" s="15">
        <v>4735405.44654</v>
      </c>
      <c r="H32" s="16">
        <v>0.0013226027909765516</v>
      </c>
      <c r="I32" s="17">
        <v>4741668.506999999</v>
      </c>
    </row>
    <row r="33" spans="1:9" ht="12.75">
      <c r="A33" s="59" t="s">
        <v>84</v>
      </c>
      <c r="B33" s="29" t="s">
        <v>150</v>
      </c>
      <c r="C33" s="15">
        <v>433632.4345300001</v>
      </c>
      <c r="D33" s="16">
        <v>0.23321692859440235</v>
      </c>
      <c r="E33" s="15">
        <v>534762.85905</v>
      </c>
      <c r="F33" s="16">
        <v>0.3115555824052139</v>
      </c>
      <c r="G33" s="15">
        <v>701371.21305</v>
      </c>
      <c r="H33" s="16">
        <v>-0.16015044666795078</v>
      </c>
      <c r="I33" s="17">
        <v>589046.3</v>
      </c>
    </row>
    <row r="34" spans="1:9" ht="12.75">
      <c r="A34" s="8" t="s">
        <v>86</v>
      </c>
      <c r="B34" s="29" t="s">
        <v>151</v>
      </c>
      <c r="C34" s="15">
        <v>1834060.5032</v>
      </c>
      <c r="D34" s="16">
        <v>-0.022614081502564953</v>
      </c>
      <c r="E34" s="15">
        <v>1792584.9094999998</v>
      </c>
      <c r="F34" s="16">
        <v>-0.057460527121546666</v>
      </c>
      <c r="G34" s="15">
        <v>1689582.0356899998</v>
      </c>
      <c r="H34" s="16">
        <v>0.08827634749862229</v>
      </c>
      <c r="I34" s="17">
        <v>1838732.1665999999</v>
      </c>
    </row>
    <row r="35" spans="1:9" ht="12.75">
      <c r="A35" s="51" t="s">
        <v>88</v>
      </c>
      <c r="B35" s="52" t="s">
        <v>152</v>
      </c>
      <c r="C35" s="24">
        <v>7335012.17882</v>
      </c>
      <c r="D35" s="54">
        <v>-0.004449191422508364</v>
      </c>
      <c r="E35" s="24">
        <v>7302377.30555</v>
      </c>
      <c r="F35" s="54">
        <v>-0.023436129100030026</v>
      </c>
      <c r="G35" s="24">
        <v>7131237.8482800005</v>
      </c>
      <c r="H35" s="54">
        <v>0.005357993399310807</v>
      </c>
      <c r="I35" s="26">
        <v>7169446.9736</v>
      </c>
    </row>
    <row r="36" spans="1:9" ht="12.75">
      <c r="A36" s="8" t="s">
        <v>90</v>
      </c>
      <c r="B36" s="29" t="s">
        <v>153</v>
      </c>
      <c r="C36" s="15">
        <v>100648.32106</v>
      </c>
      <c r="D36" s="16">
        <v>-0.6449230387191915</v>
      </c>
      <c r="E36" s="15">
        <v>35737.9</v>
      </c>
      <c r="F36" s="16">
        <v>2.3040262561594274</v>
      </c>
      <c r="G36" s="15">
        <v>118078.95994</v>
      </c>
      <c r="H36" s="16">
        <v>0.011418122760270617</v>
      </c>
      <c r="I36" s="17">
        <v>119427.2</v>
      </c>
    </row>
    <row r="37" spans="1:9" ht="12.75">
      <c r="A37" s="8" t="s">
        <v>92</v>
      </c>
      <c r="B37" s="29" t="s">
        <v>154</v>
      </c>
      <c r="C37" s="15">
        <v>2463107.42245</v>
      </c>
      <c r="D37" s="16">
        <v>-0.14481210896405416</v>
      </c>
      <c r="E37" s="15">
        <v>2106419.642</v>
      </c>
      <c r="F37" s="16">
        <v>0.06685453928652645</v>
      </c>
      <c r="G37" s="15">
        <v>2247243.35671</v>
      </c>
      <c r="H37" s="16">
        <v>-0.06007517090078178</v>
      </c>
      <c r="I37" s="17">
        <v>2112239.828</v>
      </c>
    </row>
    <row r="38" spans="1:9" ht="12.75">
      <c r="A38" s="51" t="s">
        <v>94</v>
      </c>
      <c r="B38" s="52" t="s">
        <v>155</v>
      </c>
      <c r="C38" s="24">
        <v>2563755.7435100004</v>
      </c>
      <c r="D38" s="54">
        <v>-0.1632625114812806</v>
      </c>
      <c r="E38" s="24">
        <v>2145190.542</v>
      </c>
      <c r="F38" s="54">
        <v>0.10845554839762084</v>
      </c>
      <c r="G38" s="24">
        <v>2377848.3586499994</v>
      </c>
      <c r="H38" s="54">
        <v>-0.06147630487799167</v>
      </c>
      <c r="I38" s="26">
        <v>2231667.028</v>
      </c>
    </row>
    <row r="39" spans="1:9" ht="12.75">
      <c r="A39" s="36" t="s">
        <v>96</v>
      </c>
      <c r="B39" s="37" t="s">
        <v>4</v>
      </c>
      <c r="C39" s="38">
        <v>4771256.435310001</v>
      </c>
      <c r="D39" s="39">
        <v>0.08088651982398071</v>
      </c>
      <c r="E39" s="38">
        <v>5157186.763549998</v>
      </c>
      <c r="F39" s="39">
        <v>-0.07829797376623239</v>
      </c>
      <c r="G39" s="38">
        <v>4753389.48963</v>
      </c>
      <c r="H39" s="39">
        <v>0.03879136274699685</v>
      </c>
      <c r="I39" s="40">
        <v>4937779.945599999</v>
      </c>
    </row>
    <row r="40" spans="1:9" ht="12.75">
      <c r="A40" s="131">
        <v>0</v>
      </c>
      <c r="B40" s="29" t="s">
        <v>156</v>
      </c>
      <c r="C40" s="15">
        <v>3532397.2324295556</v>
      </c>
      <c r="D40" s="16">
        <v>-0.27410310741966204</v>
      </c>
      <c r="E40" s="15">
        <v>2564156.17438</v>
      </c>
      <c r="F40" s="16">
        <v>0.43697082128038667</v>
      </c>
      <c r="G40" s="15">
        <v>3684617.6037900033</v>
      </c>
      <c r="H40" s="16">
        <v>-0.15744161980983956</v>
      </c>
      <c r="I40" s="17">
        <v>3142528.452955595</v>
      </c>
    </row>
    <row r="41" spans="1:9" ht="12.75">
      <c r="A41" s="131">
        <v>0</v>
      </c>
      <c r="B41" s="29" t="s">
        <v>157</v>
      </c>
      <c r="C41" s="15">
        <v>-1193645.0529504414</v>
      </c>
      <c r="D41" s="16">
        <v>-1.0112159944332069</v>
      </c>
      <c r="E41" s="15">
        <v>-2400678.02217</v>
      </c>
      <c r="F41" s="16">
        <v>0.5548041111844221</v>
      </c>
      <c r="G41" s="15">
        <v>-1068771.9858399967</v>
      </c>
      <c r="H41" s="16">
        <v>0.7537852739863911</v>
      </c>
      <c r="I41" s="17">
        <v>-1795251.492644405</v>
      </c>
    </row>
    <row r="42" spans="1:9" ht="12.75">
      <c r="A42" s="141">
        <v>0</v>
      </c>
      <c r="B42" s="31" t="s">
        <v>158</v>
      </c>
      <c r="C42" s="20">
        <v>84470309.20935042</v>
      </c>
      <c r="D42" s="129">
        <v>-0.009946391411307829</v>
      </c>
      <c r="E42" s="20">
        <v>83630134.45132002</v>
      </c>
      <c r="F42" s="129">
        <v>0.009933945162955144</v>
      </c>
      <c r="G42" s="20">
        <v>84460911.62093</v>
      </c>
      <c r="H42" s="129">
        <v>0.00883178945157797</v>
      </c>
      <c r="I42" s="21">
        <v>85206852.60925439</v>
      </c>
    </row>
    <row r="43" spans="1:9" ht="12.75">
      <c r="A43" s="141">
        <v>0</v>
      </c>
      <c r="B43" s="31" t="s">
        <v>6</v>
      </c>
      <c r="C43" s="66">
        <v>0.740349482431465</v>
      </c>
      <c r="D43" s="142">
        <v>0</v>
      </c>
      <c r="E43" s="41">
        <v>0.5344985294817073</v>
      </c>
      <c r="F43" s="142">
        <v>0</v>
      </c>
      <c r="G43" s="41">
        <v>0.7846497026231116</v>
      </c>
      <c r="H43" s="142">
        <v>0</v>
      </c>
      <c r="I43" s="42">
        <v>0.6364253748804394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45.57421875" style="0" customWidth="1"/>
    <col min="3" max="3" width="12.140625" style="0" customWidth="1"/>
    <col min="4" max="4" width="8.421875" style="0" customWidth="1"/>
    <col min="5" max="5" width="12.28125" style="0" customWidth="1"/>
    <col min="6" max="6" width="9.140625" style="0" customWidth="1"/>
    <col min="7" max="7" width="12.140625" style="0" customWidth="1"/>
    <col min="8" max="8" width="8.7109375" style="0" customWidth="1"/>
    <col min="9" max="9" width="11.140625" style="0" customWidth="1"/>
  </cols>
  <sheetData>
    <row r="1" spans="1:9" ht="12.75">
      <c r="A1" s="5" t="s">
        <v>20</v>
      </c>
      <c r="B1" s="6" t="s">
        <v>189</v>
      </c>
      <c r="C1" s="57" t="s">
        <v>22</v>
      </c>
      <c r="D1" s="7" t="s">
        <v>23</v>
      </c>
      <c r="E1" s="57" t="s">
        <v>24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190</v>
      </c>
      <c r="C3" s="133" t="s">
        <v>0</v>
      </c>
      <c r="D3" s="132">
        <v>0</v>
      </c>
      <c r="E3" s="133">
        <v>0</v>
      </c>
      <c r="F3" s="134">
        <v>0</v>
      </c>
      <c r="G3" s="135">
        <v>0</v>
      </c>
      <c r="H3" s="134">
        <v>0</v>
      </c>
      <c r="I3" s="115" t="s">
        <v>103</v>
      </c>
    </row>
    <row r="4" spans="1:9" ht="12.75">
      <c r="A4" s="5" t="s">
        <v>28</v>
      </c>
      <c r="B4" s="9" t="s">
        <v>29</v>
      </c>
      <c r="C4" s="10">
        <v>26971260.830670465</v>
      </c>
      <c r="D4" s="11">
        <v>-0.12477777667825882</v>
      </c>
      <c r="E4" s="10">
        <v>23605846.870009996</v>
      </c>
      <c r="F4" s="11">
        <v>0.014442004257984007</v>
      </c>
      <c r="G4" s="10">
        <v>23946762.61102</v>
      </c>
      <c r="H4" s="11">
        <v>-0.017738064469312587</v>
      </c>
      <c r="I4" s="12">
        <v>23521993.3919944</v>
      </c>
    </row>
    <row r="5" spans="1:9" ht="12.75">
      <c r="A5" s="13" t="s">
        <v>30</v>
      </c>
      <c r="B5" s="14" t="s">
        <v>31</v>
      </c>
      <c r="C5" s="15">
        <v>8611461.831219973</v>
      </c>
      <c r="D5" s="16">
        <v>-0.035339947551838495</v>
      </c>
      <c r="E5" s="15">
        <v>8307133.22176</v>
      </c>
      <c r="F5" s="16">
        <v>-0.00850674495924699</v>
      </c>
      <c r="G5" s="15">
        <v>8236466.5581</v>
      </c>
      <c r="H5" s="16">
        <v>0.025310496484076055</v>
      </c>
      <c r="I5" s="17">
        <v>8444935.61596</v>
      </c>
    </row>
    <row r="6" spans="1:9" ht="12.75">
      <c r="A6" s="13" t="s">
        <v>32</v>
      </c>
      <c r="B6" s="14" t="s">
        <v>33</v>
      </c>
      <c r="C6" s="15">
        <v>1080928.4081799998</v>
      </c>
      <c r="D6" s="16">
        <v>-0.013192985837064759</v>
      </c>
      <c r="E6" s="15">
        <v>1066667.735</v>
      </c>
      <c r="F6" s="16">
        <v>0.020669720810482718</v>
      </c>
      <c r="G6" s="15">
        <v>1088715.45928</v>
      </c>
      <c r="H6" s="16">
        <v>-0.02275019893295186</v>
      </c>
      <c r="I6" s="17">
        <v>1063946.966</v>
      </c>
    </row>
    <row r="7" spans="1:9" ht="12.75">
      <c r="A7" s="13" t="s">
        <v>34</v>
      </c>
      <c r="B7" s="14" t="s">
        <v>35</v>
      </c>
      <c r="C7" s="15">
        <v>1064260.52594</v>
      </c>
      <c r="D7" s="16">
        <v>0.02608927267642115</v>
      </c>
      <c r="E7" s="15">
        <v>1092026.3090000001</v>
      </c>
      <c r="F7" s="16">
        <v>-0.11320327505955734</v>
      </c>
      <c r="G7" s="15">
        <v>968405.35437</v>
      </c>
      <c r="H7" s="16">
        <v>0.06348912916740143</v>
      </c>
      <c r="I7" s="17">
        <v>1029888.567</v>
      </c>
    </row>
    <row r="8" spans="1:9" ht="12.75">
      <c r="A8" s="13" t="s">
        <v>36</v>
      </c>
      <c r="B8" s="14" t="s">
        <v>37</v>
      </c>
      <c r="C8" s="15">
        <v>826862.5472200001</v>
      </c>
      <c r="D8" s="16">
        <v>-0.38193361675622567</v>
      </c>
      <c r="E8" s="15">
        <v>511055.944</v>
      </c>
      <c r="F8" s="16">
        <v>0.5081580408347623</v>
      </c>
      <c r="G8" s="15">
        <v>770753.13126</v>
      </c>
      <c r="H8" s="16">
        <v>0.32257624089512776</v>
      </c>
      <c r="I8" s="17">
        <v>1019379.7789999999</v>
      </c>
    </row>
    <row r="9" spans="1:9" ht="12.75">
      <c r="A9" s="13" t="s">
        <v>38</v>
      </c>
      <c r="B9" s="14" t="s">
        <v>39</v>
      </c>
      <c r="C9" s="15">
        <v>4187013.5076999995</v>
      </c>
      <c r="D9" s="16">
        <v>-0.057143764938898195</v>
      </c>
      <c r="E9" s="15">
        <v>3947751.792019999</v>
      </c>
      <c r="F9" s="16">
        <v>0.1835369924483669</v>
      </c>
      <c r="G9" s="15">
        <v>4672310.282860001</v>
      </c>
      <c r="H9" s="16">
        <v>-0.16659006049220532</v>
      </c>
      <c r="I9" s="17">
        <v>3893949.8302</v>
      </c>
    </row>
    <row r="10" spans="1:9" ht="12.75">
      <c r="A10" s="13" t="s">
        <v>40</v>
      </c>
      <c r="B10" s="14" t="s">
        <v>41</v>
      </c>
      <c r="C10" s="15">
        <v>40488313.8427</v>
      </c>
      <c r="D10" s="16">
        <v>0.07000629646648143</v>
      </c>
      <c r="E10" s="15">
        <v>43322750.745</v>
      </c>
      <c r="F10" s="16">
        <v>0.019742248344161772</v>
      </c>
      <c r="G10" s="15">
        <v>44178039.24916001</v>
      </c>
      <c r="H10" s="16">
        <v>0.019524379673694844</v>
      </c>
      <c r="I10" s="17">
        <v>45040588.0607</v>
      </c>
    </row>
    <row r="11" spans="1:9" ht="12.75">
      <c r="A11" s="13" t="s">
        <v>42</v>
      </c>
      <c r="B11" s="14" t="s">
        <v>43</v>
      </c>
      <c r="C11" s="15">
        <v>5278946.23487</v>
      </c>
      <c r="D11" s="43">
        <v>0.4512931793836823</v>
      </c>
      <c r="E11" s="15">
        <v>7661298.665000001</v>
      </c>
      <c r="F11" s="16">
        <v>-0.09180604208568602</v>
      </c>
      <c r="G11" s="15">
        <v>6957945.157330001</v>
      </c>
      <c r="H11" s="16">
        <v>0.08462228565422344</v>
      </c>
      <c r="I11" s="17">
        <v>7546742.380000001</v>
      </c>
    </row>
    <row r="12" spans="1:9" ht="12.75">
      <c r="A12" s="13" t="s">
        <v>44</v>
      </c>
      <c r="B12" s="14" t="s">
        <v>45</v>
      </c>
      <c r="C12" s="15">
        <v>3009713.46865</v>
      </c>
      <c r="D12" s="43">
        <v>0.010567586808941628</v>
      </c>
      <c r="E12" s="15">
        <v>3041518.877</v>
      </c>
      <c r="F12" s="16">
        <v>-0.010147488645686832</v>
      </c>
      <c r="G12" s="15">
        <v>3010655.09873</v>
      </c>
      <c r="H12" s="16">
        <v>0.08459058331770694</v>
      </c>
      <c r="I12" s="17">
        <v>3265328.1696999995</v>
      </c>
    </row>
    <row r="13" spans="1:9" ht="12.75">
      <c r="A13" s="13" t="s">
        <v>46</v>
      </c>
      <c r="B13" s="14" t="s">
        <v>47</v>
      </c>
      <c r="C13" s="15">
        <v>6677037.886580001</v>
      </c>
      <c r="D13" s="43">
        <v>-0.052552091442411825</v>
      </c>
      <c r="E13" s="15">
        <v>6326145.581</v>
      </c>
      <c r="F13" s="43">
        <v>0.058760663013581814</v>
      </c>
      <c r="G13" s="15">
        <v>6697874.089660001</v>
      </c>
      <c r="H13" s="43">
        <v>-0.1159277248670133</v>
      </c>
      <c r="I13" s="17">
        <v>5921404.784999999</v>
      </c>
    </row>
    <row r="14" spans="1:9" ht="12.75">
      <c r="A14" s="13" t="s">
        <v>49</v>
      </c>
      <c r="B14" s="14" t="s">
        <v>50</v>
      </c>
      <c r="C14" s="15">
        <v>687965.8214199999</v>
      </c>
      <c r="D14" s="43">
        <v>-0.304854710641157</v>
      </c>
      <c r="E14" s="15">
        <v>478236.19999999995</v>
      </c>
      <c r="F14" s="16">
        <v>0.5629286034181439</v>
      </c>
      <c r="G14" s="15">
        <v>747449.0361700001</v>
      </c>
      <c r="H14" s="16">
        <v>-0.10101670149565527</v>
      </c>
      <c r="I14" s="17">
        <v>671944.2</v>
      </c>
    </row>
    <row r="15" spans="1:9" ht="12.75">
      <c r="A15" s="13" t="s">
        <v>51</v>
      </c>
      <c r="B15" s="14" t="s">
        <v>52</v>
      </c>
      <c r="C15" s="15">
        <v>444554.2974</v>
      </c>
      <c r="D15" s="43">
        <v>0.4938438428871208</v>
      </c>
      <c r="E15" s="15">
        <v>664094.7</v>
      </c>
      <c r="F15" s="16">
        <v>0.01427323295909471</v>
      </c>
      <c r="G15" s="15">
        <v>673573.4783600001</v>
      </c>
      <c r="H15" s="16">
        <v>0.05903137358794378</v>
      </c>
      <c r="I15" s="17">
        <v>713335.446</v>
      </c>
    </row>
    <row r="16" spans="1:9" ht="12.75">
      <c r="A16" s="13" t="s">
        <v>53</v>
      </c>
      <c r="B16" s="14" t="s">
        <v>54</v>
      </c>
      <c r="C16" s="15">
        <v>920675.4490600001</v>
      </c>
      <c r="D16" s="43">
        <v>-0.2918728302512688</v>
      </c>
      <c r="E16" s="15">
        <v>651955.3</v>
      </c>
      <c r="F16" s="43">
        <v>0.009717134062718603</v>
      </c>
      <c r="G16" s="15">
        <v>658290.437053</v>
      </c>
      <c r="H16" s="43">
        <v>-0.34583418539721356</v>
      </c>
      <c r="I16" s="17">
        <v>430631.10000000003</v>
      </c>
    </row>
    <row r="17" spans="1:9" ht="12.75">
      <c r="A17" s="13" t="s">
        <v>55</v>
      </c>
      <c r="B17" s="14" t="s">
        <v>56</v>
      </c>
      <c r="C17" s="15">
        <v>1115934.92815</v>
      </c>
      <c r="D17" s="16">
        <v>-0.6862880619926764</v>
      </c>
      <c r="E17" s="15">
        <v>350082.109</v>
      </c>
      <c r="F17" s="16">
        <v>0.9842602432162568</v>
      </c>
      <c r="G17" s="15">
        <v>694654.0107500001</v>
      </c>
      <c r="H17" s="16">
        <v>-0.5267881953994751</v>
      </c>
      <c r="I17" s="17">
        <v>328718.478</v>
      </c>
    </row>
    <row r="18" spans="1:9" ht="12.75">
      <c r="A18" s="13">
        <v>389</v>
      </c>
      <c r="B18" s="14" t="s">
        <v>57</v>
      </c>
      <c r="C18" s="15">
        <v>124414.09999999999</v>
      </c>
      <c r="D18" s="43">
        <v>-0.9964401141028228</v>
      </c>
      <c r="E18" s="15">
        <v>442.9</v>
      </c>
      <c r="F18" s="43">
        <v>4.332196884172499</v>
      </c>
      <c r="G18" s="15">
        <v>2361.63</v>
      </c>
      <c r="H18" s="43">
        <v>-0.7023665857903227</v>
      </c>
      <c r="I18" s="17">
        <v>702.9</v>
      </c>
    </row>
    <row r="19" spans="1:9" ht="12.75">
      <c r="A19" s="18" t="s">
        <v>58</v>
      </c>
      <c r="B19" s="19" t="s">
        <v>59</v>
      </c>
      <c r="C19" s="20">
        <v>2672933.8764999993</v>
      </c>
      <c r="D19" s="43">
        <v>-0.0029557040559283075</v>
      </c>
      <c r="E19" s="20">
        <v>2665033.475</v>
      </c>
      <c r="F19" s="43">
        <v>-0.08020205349578201</v>
      </c>
      <c r="G19" s="20">
        <v>2451292.3176700003</v>
      </c>
      <c r="H19" s="43">
        <v>-0.03713555866585752</v>
      </c>
      <c r="I19" s="21">
        <v>2360262.208</v>
      </c>
    </row>
    <row r="20" spans="1:9" ht="12.75">
      <c r="A20" s="22" t="s">
        <v>60</v>
      </c>
      <c r="B20" s="23" t="s">
        <v>61</v>
      </c>
      <c r="C20" s="24">
        <v>86062455.99010043</v>
      </c>
      <c r="D20" s="25">
        <v>-0.02626386382199498</v>
      </c>
      <c r="E20" s="24">
        <v>83802123.36579</v>
      </c>
      <c r="F20" s="25">
        <v>0.025284822082025968</v>
      </c>
      <c r="G20" s="24">
        <v>85921045.14518999</v>
      </c>
      <c r="H20" s="25">
        <v>-0.0032660952140582127</v>
      </c>
      <c r="I20" s="26">
        <v>85640418.8308544</v>
      </c>
    </row>
    <row r="21" spans="1:9" ht="12.75">
      <c r="A21" s="27" t="s">
        <v>62</v>
      </c>
      <c r="B21" s="28" t="s">
        <v>63</v>
      </c>
      <c r="C21" s="10">
        <v>37646923.17659999</v>
      </c>
      <c r="D21" s="16">
        <v>-0.013783364822825994</v>
      </c>
      <c r="E21" s="10">
        <v>37128021.900000006</v>
      </c>
      <c r="F21" s="16">
        <v>0.020359823431368676</v>
      </c>
      <c r="G21" s="10">
        <v>37883941.870239995</v>
      </c>
      <c r="H21" s="16">
        <v>0.001565454829466712</v>
      </c>
      <c r="I21" s="12">
        <v>37943247.47</v>
      </c>
    </row>
    <row r="22" spans="1:9" ht="12.75">
      <c r="A22" s="8" t="s">
        <v>64</v>
      </c>
      <c r="B22" s="29" t="s">
        <v>65</v>
      </c>
      <c r="C22" s="15">
        <v>3233448.5451700008</v>
      </c>
      <c r="D22" s="16">
        <v>0.06366695555972607</v>
      </c>
      <c r="E22" s="15">
        <v>3439312.37</v>
      </c>
      <c r="F22" s="16">
        <v>0.052514449727053984</v>
      </c>
      <c r="G22" s="15">
        <v>3619925.96655</v>
      </c>
      <c r="H22" s="16">
        <v>-0.026390861976950453</v>
      </c>
      <c r="I22" s="17">
        <v>3524393</v>
      </c>
    </row>
    <row r="23" spans="1:9" ht="12.75">
      <c r="A23" s="8" t="s">
        <v>66</v>
      </c>
      <c r="B23" s="29" t="s">
        <v>67</v>
      </c>
      <c r="C23" s="15">
        <v>3914342.2751599993</v>
      </c>
      <c r="D23" s="16">
        <v>-0.2614185827983509</v>
      </c>
      <c r="E23" s="15">
        <v>2891060.465</v>
      </c>
      <c r="F23" s="16">
        <v>0.15705300690762308</v>
      </c>
      <c r="G23" s="15">
        <v>3345110.204180001</v>
      </c>
      <c r="H23" s="16">
        <v>-0.0794664438402749</v>
      </c>
      <c r="I23" s="17">
        <v>3079286.1920000003</v>
      </c>
    </row>
    <row r="24" spans="1:9" ht="12.75">
      <c r="A24" s="8" t="s">
        <v>68</v>
      </c>
      <c r="B24" s="29" t="s">
        <v>69</v>
      </c>
      <c r="C24" s="15">
        <v>10805182.066570003</v>
      </c>
      <c r="D24" s="16">
        <v>-0.1897101481669625</v>
      </c>
      <c r="E24" s="15">
        <v>8755329.375750002</v>
      </c>
      <c r="F24" s="16">
        <v>0.07202243640274023</v>
      </c>
      <c r="G24" s="15">
        <v>9385909.5289</v>
      </c>
      <c r="H24" s="16">
        <v>0.005148677467133378</v>
      </c>
      <c r="I24" s="17">
        <v>9434234.5498</v>
      </c>
    </row>
    <row r="25" spans="1:9" ht="12.75">
      <c r="A25" s="8" t="s">
        <v>70</v>
      </c>
      <c r="B25" s="29" t="s">
        <v>71</v>
      </c>
      <c r="C25" s="15">
        <v>26260960.69686</v>
      </c>
      <c r="D25" s="16">
        <v>0.010425232199244681</v>
      </c>
      <c r="E25" s="15">
        <v>26534737.309900004</v>
      </c>
      <c r="F25" s="16">
        <v>0.027462791686206415</v>
      </c>
      <c r="G25" s="15">
        <v>27263455.273089997</v>
      </c>
      <c r="H25" s="16">
        <v>0.008211021059057265</v>
      </c>
      <c r="I25" s="17">
        <v>27487316.078480005</v>
      </c>
    </row>
    <row r="26" spans="1:9" ht="12.75">
      <c r="A26" s="59" t="s">
        <v>72</v>
      </c>
      <c r="B26" s="29" t="s">
        <v>73</v>
      </c>
      <c r="C26" s="15">
        <v>749625.95145</v>
      </c>
      <c r="D26" s="16">
        <v>0.5772167208366198</v>
      </c>
      <c r="E26" s="15">
        <v>1182322.5850000002</v>
      </c>
      <c r="F26" s="16">
        <v>-0.13180654821881804</v>
      </c>
      <c r="G26" s="15">
        <v>1026484.7261900001</v>
      </c>
      <c r="H26" s="16">
        <v>0.03285045230547181</v>
      </c>
      <c r="I26" s="17">
        <v>1060205.21373</v>
      </c>
    </row>
    <row r="27" spans="1:9" ht="12.75">
      <c r="A27" s="195">
        <v>489</v>
      </c>
      <c r="B27" s="29" t="s">
        <v>74</v>
      </c>
      <c r="C27" s="15">
        <v>67319.7</v>
      </c>
      <c r="D27" s="16">
        <v>2.2006322072142335</v>
      </c>
      <c r="E27" s="15">
        <v>215465.6</v>
      </c>
      <c r="F27" s="16">
        <v>-0.24311321886185083</v>
      </c>
      <c r="G27" s="15">
        <v>163083.06443</v>
      </c>
      <c r="H27" s="16">
        <v>-0.14250057405546881</v>
      </c>
      <c r="I27" s="17">
        <v>139843.63413</v>
      </c>
    </row>
    <row r="28" spans="1:9" ht="12.75">
      <c r="A28" s="30" t="s">
        <v>75</v>
      </c>
      <c r="B28" s="31" t="s">
        <v>76</v>
      </c>
      <c r="C28" s="20">
        <v>2672942.9030199996</v>
      </c>
      <c r="D28" s="16">
        <v>-0.0032265910020955737</v>
      </c>
      <c r="E28" s="20">
        <v>2664318.4095</v>
      </c>
      <c r="F28" s="16">
        <v>-0.07995556990126322</v>
      </c>
      <c r="G28" s="20">
        <v>2451291.3126700004</v>
      </c>
      <c r="H28" s="16">
        <v>-0.03740039488417281</v>
      </c>
      <c r="I28" s="21">
        <v>2359612.0496</v>
      </c>
    </row>
    <row r="29" spans="1:9" ht="12.75">
      <c r="A29" s="51" t="s">
        <v>77</v>
      </c>
      <c r="B29" s="52" t="s">
        <v>78</v>
      </c>
      <c r="C29" s="24">
        <v>85350745.31482999</v>
      </c>
      <c r="D29" s="53">
        <v>-0.02976162996948815</v>
      </c>
      <c r="E29" s="24">
        <v>82810568.01515</v>
      </c>
      <c r="F29" s="53">
        <v>0.028120009159627944</v>
      </c>
      <c r="G29" s="24">
        <v>85139201.94625</v>
      </c>
      <c r="H29" s="54">
        <v>-0.0013044961189571662</v>
      </c>
      <c r="I29" s="26">
        <v>85028138.18774001</v>
      </c>
    </row>
    <row r="30" spans="1:9" ht="12.75">
      <c r="A30" s="50" t="s">
        <v>79</v>
      </c>
      <c r="B30" s="32" t="s">
        <v>80</v>
      </c>
      <c r="C30" s="33">
        <v>-711710.6752704452</v>
      </c>
      <c r="D30" s="136">
        <v>0</v>
      </c>
      <c r="E30" s="33">
        <v>-991555.3506399997</v>
      </c>
      <c r="F30" s="136">
        <v>0</v>
      </c>
      <c r="G30" s="34">
        <v>-781843.1989399968</v>
      </c>
      <c r="H30" s="137">
        <v>0</v>
      </c>
      <c r="I30" s="35">
        <v>-612280.6431144049</v>
      </c>
    </row>
    <row r="31" spans="1:9" ht="12.75">
      <c r="A31" s="140">
        <v>0</v>
      </c>
      <c r="B31" s="28" t="s">
        <v>81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>
        <v>0</v>
      </c>
      <c r="I31" s="139">
        <v>0</v>
      </c>
    </row>
    <row r="32" spans="1:9" ht="12.75">
      <c r="A32" s="59" t="s">
        <v>82</v>
      </c>
      <c r="B32" s="29" t="s">
        <v>83</v>
      </c>
      <c r="C32" s="15">
        <v>5067319.241089999</v>
      </c>
      <c r="D32" s="16">
        <v>-0.018212727420376093</v>
      </c>
      <c r="E32" s="15">
        <v>4975029.537</v>
      </c>
      <c r="F32" s="16">
        <v>-0.048165360361758926</v>
      </c>
      <c r="G32" s="15">
        <v>4735405.44654</v>
      </c>
      <c r="H32" s="16">
        <v>0.0013226027909765516</v>
      </c>
      <c r="I32" s="17">
        <v>4741668.506999999</v>
      </c>
    </row>
    <row r="33" spans="1:9" ht="12.75">
      <c r="A33" s="59" t="s">
        <v>84</v>
      </c>
      <c r="B33" s="29" t="s">
        <v>85</v>
      </c>
      <c r="C33" s="15">
        <v>433632.4345300001</v>
      </c>
      <c r="D33" s="16">
        <v>0.23321692859440235</v>
      </c>
      <c r="E33" s="15">
        <v>534762.85905</v>
      </c>
      <c r="F33" s="16">
        <v>0.3115555824052139</v>
      </c>
      <c r="G33" s="15">
        <v>701371.21305</v>
      </c>
      <c r="H33" s="16">
        <v>-0.16015044666795078</v>
      </c>
      <c r="I33" s="17">
        <v>589046.3</v>
      </c>
    </row>
    <row r="34" spans="1:9" ht="12.75">
      <c r="A34" s="8" t="s">
        <v>86</v>
      </c>
      <c r="B34" s="29" t="s">
        <v>87</v>
      </c>
      <c r="C34" s="15">
        <v>1834060.5032</v>
      </c>
      <c r="D34" s="16">
        <v>-0.022614081502564953</v>
      </c>
      <c r="E34" s="15">
        <v>1792584.9094999998</v>
      </c>
      <c r="F34" s="16">
        <v>-0.057460527121546666</v>
      </c>
      <c r="G34" s="15">
        <v>1689582.0356899998</v>
      </c>
      <c r="H34" s="16">
        <v>0.08827634749862229</v>
      </c>
      <c r="I34" s="17">
        <v>1838732.1665999999</v>
      </c>
    </row>
    <row r="35" spans="1:9" ht="12.75">
      <c r="A35" s="51" t="s">
        <v>88</v>
      </c>
      <c r="B35" s="52" t="s">
        <v>89</v>
      </c>
      <c r="C35" s="24">
        <v>7335012.17882</v>
      </c>
      <c r="D35" s="54">
        <v>-0.004449191422508364</v>
      </c>
      <c r="E35" s="24">
        <v>7302377.30555</v>
      </c>
      <c r="F35" s="54">
        <v>-0.023436129100030026</v>
      </c>
      <c r="G35" s="24">
        <v>7131237.8482800005</v>
      </c>
      <c r="H35" s="54">
        <v>0.005357993399310807</v>
      </c>
      <c r="I35" s="26">
        <v>7169446.9736</v>
      </c>
    </row>
    <row r="36" spans="1:9" ht="12.75">
      <c r="A36" s="8" t="s">
        <v>90</v>
      </c>
      <c r="B36" s="29" t="s">
        <v>91</v>
      </c>
      <c r="C36" s="15">
        <v>100648.32106</v>
      </c>
      <c r="D36" s="16">
        <v>-0.6449230387191915</v>
      </c>
      <c r="E36" s="15">
        <v>35737.9</v>
      </c>
      <c r="F36" s="16">
        <v>2.3040262561594274</v>
      </c>
      <c r="G36" s="15">
        <v>118078.95994</v>
      </c>
      <c r="H36" s="16">
        <v>0.011418122760270617</v>
      </c>
      <c r="I36" s="17">
        <v>119427.2</v>
      </c>
    </row>
    <row r="37" spans="1:9" ht="12.75">
      <c r="A37" s="8" t="s">
        <v>92</v>
      </c>
      <c r="B37" s="29" t="s">
        <v>93</v>
      </c>
      <c r="C37" s="15">
        <v>2463107.42245</v>
      </c>
      <c r="D37" s="16">
        <v>-0.14481210896405416</v>
      </c>
      <c r="E37" s="15">
        <v>2106419.642</v>
      </c>
      <c r="F37" s="16">
        <v>0.06685453928652645</v>
      </c>
      <c r="G37" s="15">
        <v>2247243.35671</v>
      </c>
      <c r="H37" s="16">
        <v>-0.06007517090078178</v>
      </c>
      <c r="I37" s="17">
        <v>2112239.828</v>
      </c>
    </row>
    <row r="38" spans="1:9" ht="12.75">
      <c r="A38" s="51" t="s">
        <v>94</v>
      </c>
      <c r="B38" s="52" t="s">
        <v>95</v>
      </c>
      <c r="C38" s="24">
        <v>2563755.7435100004</v>
      </c>
      <c r="D38" s="54">
        <v>-0.1632625114812806</v>
      </c>
      <c r="E38" s="24">
        <v>2145190.542</v>
      </c>
      <c r="F38" s="54">
        <v>0.10845554839762084</v>
      </c>
      <c r="G38" s="24">
        <v>2377848.3586499994</v>
      </c>
      <c r="H38" s="54">
        <v>-0.06147630487799167</v>
      </c>
      <c r="I38" s="26">
        <v>2231667.028</v>
      </c>
    </row>
    <row r="39" spans="1:9" ht="12.75">
      <c r="A39" s="36" t="s">
        <v>96</v>
      </c>
      <c r="B39" s="37" t="s">
        <v>3</v>
      </c>
      <c r="C39" s="38">
        <v>4771256.435310001</v>
      </c>
      <c r="D39" s="39">
        <v>0.08088651982398071</v>
      </c>
      <c r="E39" s="38">
        <v>5157186.763549998</v>
      </c>
      <c r="F39" s="39">
        <v>-0.07829797376623239</v>
      </c>
      <c r="G39" s="38">
        <v>4753389.48963</v>
      </c>
      <c r="H39" s="39">
        <v>0.03879136274699685</v>
      </c>
      <c r="I39" s="40">
        <v>4937779.945599999</v>
      </c>
    </row>
    <row r="40" spans="1:9" ht="12.75">
      <c r="A40" s="131" t="s">
        <v>0</v>
      </c>
      <c r="B40" s="29" t="s">
        <v>97</v>
      </c>
      <c r="C40" s="15">
        <v>3532397.2324295556</v>
      </c>
      <c r="D40" s="16">
        <v>-0.27410310741966204</v>
      </c>
      <c r="E40" s="601">
        <v>2564156.17438</v>
      </c>
      <c r="F40" s="16">
        <v>0.43697082128038667</v>
      </c>
      <c r="G40" s="601">
        <v>3684617.6037900033</v>
      </c>
      <c r="H40" s="16">
        <v>-0.15744161980983956</v>
      </c>
      <c r="I40" s="600">
        <v>3142528.452955595</v>
      </c>
    </row>
    <row r="41" spans="1:9" ht="12.75">
      <c r="A41" s="131" t="s">
        <v>0</v>
      </c>
      <c r="B41" s="29" t="s">
        <v>98</v>
      </c>
      <c r="C41" s="15">
        <v>-1193645.0529504414</v>
      </c>
      <c r="D41" s="16">
        <v>-1.0112159944332069</v>
      </c>
      <c r="E41" s="15">
        <v>-2400678.02217</v>
      </c>
      <c r="F41" s="16">
        <v>0.5548041111844221</v>
      </c>
      <c r="G41" s="15">
        <v>-1068771.9858399967</v>
      </c>
      <c r="H41" s="16">
        <v>0.7537852739863911</v>
      </c>
      <c r="I41" s="17">
        <v>-1795251.492644405</v>
      </c>
    </row>
    <row r="42" spans="1:9" ht="12.75">
      <c r="A42" s="141" t="s">
        <v>0</v>
      </c>
      <c r="B42" s="31" t="s">
        <v>99</v>
      </c>
      <c r="C42" s="20">
        <v>84470309.20935042</v>
      </c>
      <c r="D42" s="129">
        <v>-0.009946391411307829</v>
      </c>
      <c r="E42" s="20">
        <v>83630134.45132002</v>
      </c>
      <c r="F42" s="129">
        <v>0.009933945162955144</v>
      </c>
      <c r="G42" s="20">
        <v>84460911.62093</v>
      </c>
      <c r="H42" s="129">
        <v>0.00883178945157797</v>
      </c>
      <c r="I42" s="21">
        <v>85206852.60925439</v>
      </c>
    </row>
    <row r="43" spans="1:9" ht="12.75">
      <c r="A43" s="141">
        <v>0</v>
      </c>
      <c r="B43" s="31" t="s">
        <v>5</v>
      </c>
      <c r="C43" s="66">
        <v>0.740349482431465</v>
      </c>
      <c r="D43" s="142">
        <v>0</v>
      </c>
      <c r="E43" s="41">
        <v>0.5344985294817073</v>
      </c>
      <c r="F43" s="142">
        <v>0</v>
      </c>
      <c r="G43" s="41">
        <v>0.7846497026231116</v>
      </c>
      <c r="H43" s="142">
        <v>0</v>
      </c>
      <c r="I43" s="42">
        <v>0.6364253748804394</v>
      </c>
    </row>
    <row r="45" spans="2:9" ht="12.75">
      <c r="B45" s="599"/>
      <c r="C45" s="602"/>
      <c r="E45" s="602"/>
      <c r="G45" s="602"/>
      <c r="I45" s="60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421875" style="0" customWidth="1"/>
    <col min="2" max="2" width="15.421875" style="0" customWidth="1"/>
    <col min="3" max="3" width="15.57421875" style="0" customWidth="1"/>
    <col min="4" max="4" width="15.7109375" style="0" customWidth="1"/>
    <col min="5" max="5" width="21.28125" style="0" customWidth="1"/>
    <col min="6" max="6" width="2.140625" style="0" customWidth="1"/>
  </cols>
  <sheetData>
    <row r="1" spans="2:6" ht="12.75">
      <c r="B1" s="4"/>
      <c r="C1" s="4"/>
      <c r="D1" s="4"/>
      <c r="E1" s="4"/>
      <c r="F1" s="4"/>
    </row>
    <row r="2" spans="1:2" ht="18" customHeight="1">
      <c r="A2" s="48" t="s">
        <v>191</v>
      </c>
      <c r="B2" s="55"/>
    </row>
    <row r="3" spans="1:6" ht="17.25" customHeight="1" thickBot="1">
      <c r="A3" s="48" t="s">
        <v>192</v>
      </c>
      <c r="B3" s="4"/>
      <c r="C3" s="4"/>
      <c r="D3" s="4"/>
      <c r="E3" s="4"/>
      <c r="F3" s="4"/>
    </row>
    <row r="4" spans="1:6" ht="13.5" thickTop="1">
      <c r="A4" s="169" t="s">
        <v>2</v>
      </c>
      <c r="B4" s="168" t="s">
        <v>10</v>
      </c>
      <c r="C4" s="168" t="s">
        <v>3</v>
      </c>
      <c r="D4" s="168" t="s">
        <v>11</v>
      </c>
      <c r="E4" s="168" t="s">
        <v>5</v>
      </c>
      <c r="F4" s="188"/>
    </row>
    <row r="5" spans="1:6" ht="12.75">
      <c r="A5" s="170" t="s">
        <v>1</v>
      </c>
      <c r="B5" s="44" t="s">
        <v>18</v>
      </c>
      <c r="C5" s="44" t="s">
        <v>4</v>
      </c>
      <c r="D5" s="44" t="s">
        <v>12</v>
      </c>
      <c r="E5" s="44" t="s">
        <v>6</v>
      </c>
      <c r="F5" s="189"/>
    </row>
    <row r="6" spans="1:6" ht="12.75">
      <c r="A6" s="171"/>
      <c r="B6" s="45" t="s">
        <v>19</v>
      </c>
      <c r="C6" s="45"/>
      <c r="D6" s="60"/>
      <c r="E6" s="45"/>
      <c r="F6" s="189"/>
    </row>
    <row r="7" spans="1:6" ht="15">
      <c r="A7" s="172"/>
      <c r="B7" s="61" t="s">
        <v>16</v>
      </c>
      <c r="C7" s="62"/>
      <c r="D7" s="62"/>
      <c r="E7" s="145"/>
      <c r="F7" s="190"/>
    </row>
    <row r="8" spans="1:6" ht="24" customHeight="1">
      <c r="A8" s="173" t="s">
        <v>193</v>
      </c>
      <c r="B8" s="166">
        <v>-1723294</v>
      </c>
      <c r="C8" s="166">
        <v>677010</v>
      </c>
      <c r="D8" s="166">
        <v>-1685892.9200699972</v>
      </c>
      <c r="E8" s="67" t="s">
        <v>100</v>
      </c>
      <c r="F8" s="191"/>
    </row>
    <row r="9" spans="1:6" ht="24" customHeight="1">
      <c r="A9" s="173" t="s">
        <v>101</v>
      </c>
      <c r="B9" s="166">
        <v>56641.99391999841</v>
      </c>
      <c r="C9" s="166">
        <v>582002.3345799999</v>
      </c>
      <c r="D9" s="166">
        <v>12658.97575999843</v>
      </c>
      <c r="E9" s="64">
        <v>1.0217507302082107</v>
      </c>
      <c r="F9" s="191"/>
    </row>
    <row r="10" spans="1:6" ht="24" customHeight="1">
      <c r="A10" s="173" t="s">
        <v>104</v>
      </c>
      <c r="B10" s="166">
        <v>49514.952930000145</v>
      </c>
      <c r="C10" s="166">
        <v>180361.93865000003</v>
      </c>
      <c r="D10" s="166">
        <v>24465.01428000012</v>
      </c>
      <c r="E10" s="146">
        <v>1.1356439970823085</v>
      </c>
      <c r="F10" s="191"/>
    </row>
    <row r="11" spans="1:6" ht="24" customHeight="1">
      <c r="A11" s="173" t="s">
        <v>106</v>
      </c>
      <c r="B11" s="166">
        <v>10894</v>
      </c>
      <c r="C11" s="166">
        <v>24828</v>
      </c>
      <c r="D11" s="166">
        <v>2536</v>
      </c>
      <c r="E11" s="146">
        <v>1.10214274206541</v>
      </c>
      <c r="F11" s="191"/>
    </row>
    <row r="12" spans="1:6" ht="24" customHeight="1">
      <c r="A12" s="173" t="s">
        <v>107</v>
      </c>
      <c r="B12" s="166">
        <v>-48277.90000000014</v>
      </c>
      <c r="C12" s="166">
        <v>69031.2</v>
      </c>
      <c r="D12" s="166">
        <v>-40540.00000000013</v>
      </c>
      <c r="E12" s="67">
        <v>0.4127293165988693</v>
      </c>
      <c r="F12" s="191"/>
    </row>
    <row r="13" spans="1:6" ht="24" customHeight="1">
      <c r="A13" s="173" t="s">
        <v>108</v>
      </c>
      <c r="B13" s="166">
        <v>-1287</v>
      </c>
      <c r="C13" s="166">
        <v>21792</v>
      </c>
      <c r="D13" s="166">
        <v>-12043</v>
      </c>
      <c r="E13" s="146">
        <v>0.4473660058737151</v>
      </c>
      <c r="F13" s="191"/>
    </row>
    <row r="14" spans="1:6" ht="24" customHeight="1">
      <c r="A14" s="173" t="s">
        <v>194</v>
      </c>
      <c r="B14" s="166">
        <v>608.2000000000116</v>
      </c>
      <c r="C14" s="166">
        <v>38439.60000000002</v>
      </c>
      <c r="D14" s="166">
        <v>-15584.17999999999</v>
      </c>
      <c r="E14" s="146">
        <v>0.5945726854826753</v>
      </c>
      <c r="F14" s="191"/>
    </row>
    <row r="15" spans="1:6" ht="24" customHeight="1">
      <c r="A15" s="173" t="s">
        <v>195</v>
      </c>
      <c r="B15" s="166">
        <v>8102.399999999965</v>
      </c>
      <c r="C15" s="166">
        <v>17685.7</v>
      </c>
      <c r="D15" s="166">
        <v>5561.19999999999</v>
      </c>
      <c r="E15" s="146">
        <v>1.314446134447604</v>
      </c>
      <c r="F15" s="191"/>
    </row>
    <row r="16" spans="1:6" ht="24" customHeight="1">
      <c r="A16" s="173" t="s">
        <v>111</v>
      </c>
      <c r="B16" s="166">
        <v>84786.30000000005</v>
      </c>
      <c r="C16" s="166">
        <v>106365.09999999999</v>
      </c>
      <c r="D16" s="166">
        <v>45547.500000000044</v>
      </c>
      <c r="E16" s="146">
        <v>1.428218466395463</v>
      </c>
      <c r="F16" s="191"/>
    </row>
    <row r="17" spans="1:6" ht="24" customHeight="1">
      <c r="A17" s="173" t="s">
        <v>196</v>
      </c>
      <c r="B17" s="166">
        <v>2789.189999999944</v>
      </c>
      <c r="C17" s="166">
        <v>177502.14</v>
      </c>
      <c r="D17" s="166">
        <v>65800.83999999997</v>
      </c>
      <c r="E17" s="146">
        <v>1.3707606344681504</v>
      </c>
      <c r="F17" s="191"/>
    </row>
    <row r="18" spans="1:6" ht="24" customHeight="1">
      <c r="A18" s="173" t="s">
        <v>159</v>
      </c>
      <c r="B18" s="166">
        <v>19272.94000000041</v>
      </c>
      <c r="C18" s="166">
        <v>133569.31</v>
      </c>
      <c r="D18" s="166">
        <v>-18980.969999999594</v>
      </c>
      <c r="E18" s="64">
        <v>0.8578942273490849</v>
      </c>
      <c r="F18" s="191"/>
    </row>
    <row r="19" spans="1:6" ht="24" customHeight="1">
      <c r="A19" s="173" t="s">
        <v>162</v>
      </c>
      <c r="B19" s="166">
        <v>217334.89999999944</v>
      </c>
      <c r="C19" s="166">
        <v>326432.94999999995</v>
      </c>
      <c r="D19" s="166">
        <v>63198.21999999951</v>
      </c>
      <c r="E19" s="64">
        <v>1.1936024534287961</v>
      </c>
      <c r="F19" s="191"/>
    </row>
    <row r="20" spans="1:6" ht="24" customHeight="1">
      <c r="A20" s="173" t="s">
        <v>197</v>
      </c>
      <c r="B20" s="166">
        <v>-18907.91700000083</v>
      </c>
      <c r="C20" s="166">
        <v>347572.4</v>
      </c>
      <c r="D20" s="166">
        <v>-288100.11699999985</v>
      </c>
      <c r="E20" s="146">
        <v>0.17110761096105498</v>
      </c>
      <c r="F20" s="191"/>
    </row>
    <row r="21" spans="1:6" ht="24" customHeight="1">
      <c r="A21" s="173" t="s">
        <v>164</v>
      </c>
      <c r="B21" s="166">
        <v>-11448.933769999887</v>
      </c>
      <c r="C21" s="166">
        <v>29835.76445</v>
      </c>
      <c r="D21" s="166">
        <v>-27783.385719999886</v>
      </c>
      <c r="E21" s="146">
        <v>0.06878921213631291</v>
      </c>
      <c r="F21" s="191"/>
    </row>
    <row r="22" spans="1:6" ht="24" customHeight="1">
      <c r="A22" s="173" t="s">
        <v>165</v>
      </c>
      <c r="B22" s="166">
        <v>-5347</v>
      </c>
      <c r="C22" s="166">
        <v>53465</v>
      </c>
      <c r="D22" s="166">
        <v>-27456</v>
      </c>
      <c r="E22" s="146">
        <v>0.48646778266155427</v>
      </c>
      <c r="F22" s="191"/>
    </row>
    <row r="23" spans="1:6" ht="24" customHeight="1">
      <c r="A23" s="173" t="s">
        <v>166</v>
      </c>
      <c r="B23" s="166">
        <v>442.3999999999942</v>
      </c>
      <c r="C23" s="166">
        <v>9363.5</v>
      </c>
      <c r="D23" s="166">
        <v>-1557.6000000000058</v>
      </c>
      <c r="E23" s="67">
        <v>0.8336519463875681</v>
      </c>
      <c r="F23" s="191"/>
    </row>
    <row r="24" spans="1:6" ht="24" customHeight="1">
      <c r="A24" s="173" t="s">
        <v>167</v>
      </c>
      <c r="B24" s="166">
        <v>-64847.24958000053</v>
      </c>
      <c r="C24" s="166">
        <v>152208.46843999997</v>
      </c>
      <c r="D24" s="166">
        <v>-120117.0486300005</v>
      </c>
      <c r="E24" s="67">
        <v>0.21083859616293157</v>
      </c>
      <c r="F24" s="191"/>
    </row>
    <row r="25" spans="1:6" ht="24" customHeight="1">
      <c r="A25" s="173" t="s">
        <v>168</v>
      </c>
      <c r="B25" s="166">
        <v>102888</v>
      </c>
      <c r="C25" s="166">
        <v>195909</v>
      </c>
      <c r="D25" s="166">
        <v>95629</v>
      </c>
      <c r="E25" s="146">
        <v>1.4881296928676069</v>
      </c>
      <c r="F25" s="191"/>
    </row>
    <row r="26" spans="1:6" ht="24" customHeight="1">
      <c r="A26" s="173" t="s">
        <v>169</v>
      </c>
      <c r="B26" s="166">
        <v>14549.073710001074</v>
      </c>
      <c r="C26" s="166">
        <v>214431.08325000003</v>
      </c>
      <c r="D26" s="166">
        <v>29783.886290001043</v>
      </c>
      <c r="E26" s="146">
        <v>1.1388972430609638</v>
      </c>
      <c r="F26" s="191"/>
    </row>
    <row r="27" spans="1:6" ht="24" customHeight="1">
      <c r="A27" s="173" t="s">
        <v>170</v>
      </c>
      <c r="B27" s="166">
        <v>28136</v>
      </c>
      <c r="C27" s="166">
        <v>82426</v>
      </c>
      <c r="D27" s="166">
        <v>22295</v>
      </c>
      <c r="E27" s="146">
        <v>1.2704850411277995</v>
      </c>
      <c r="F27" s="191"/>
    </row>
    <row r="28" spans="1:6" ht="24" customHeight="1">
      <c r="A28" s="173" t="s">
        <v>172</v>
      </c>
      <c r="B28" s="166">
        <v>16294.695160000585</v>
      </c>
      <c r="C28" s="166">
        <v>243162.65991000002</v>
      </c>
      <c r="D28" s="166">
        <v>-38067.53487999944</v>
      </c>
      <c r="E28" s="67">
        <v>0.8434482708237807</v>
      </c>
      <c r="F28" s="191"/>
    </row>
    <row r="29" spans="1:6" ht="24" customHeight="1">
      <c r="A29" s="173" t="s">
        <v>173</v>
      </c>
      <c r="B29" s="166">
        <v>345665.8402599972</v>
      </c>
      <c r="C29" s="166">
        <v>234192.77639999997</v>
      </c>
      <c r="D29" s="166">
        <v>298267.1076799972</v>
      </c>
      <c r="E29" s="64">
        <v>2.273596531306152</v>
      </c>
      <c r="F29" s="191"/>
    </row>
    <row r="30" spans="1:6" ht="24" customHeight="1">
      <c r="A30" s="173" t="s">
        <v>176</v>
      </c>
      <c r="B30" s="166">
        <v>6927.600000000093</v>
      </c>
      <c r="C30" s="166">
        <v>228014.09999999998</v>
      </c>
      <c r="D30" s="166">
        <v>40676.40000000014</v>
      </c>
      <c r="E30" s="146">
        <v>1.1783942308830908</v>
      </c>
      <c r="F30" s="191"/>
    </row>
    <row r="31" spans="1:6" ht="24" customHeight="1">
      <c r="A31" s="173" t="s">
        <v>177</v>
      </c>
      <c r="B31" s="166">
        <v>2966.600000000326</v>
      </c>
      <c r="C31" s="166">
        <v>76578.1</v>
      </c>
      <c r="D31" s="166">
        <v>-50.19999999967695</v>
      </c>
      <c r="E31" s="146">
        <v>0.9993444601002156</v>
      </c>
      <c r="F31" s="191"/>
    </row>
    <row r="32" spans="1:6" ht="24" customHeight="1">
      <c r="A32" s="173" t="s">
        <v>178</v>
      </c>
      <c r="B32" s="166">
        <v>193099.62678955868</v>
      </c>
      <c r="C32" s="166">
        <v>502554.3048</v>
      </c>
      <c r="D32" s="166">
        <v>383134.59926955873</v>
      </c>
      <c r="E32" s="67">
        <v>1.5277764406186043</v>
      </c>
      <c r="F32" s="192"/>
    </row>
    <row r="33" spans="1:6" ht="24" customHeight="1">
      <c r="A33" s="173" t="s">
        <v>186</v>
      </c>
      <c r="B33" s="167">
        <v>784.6123099999968</v>
      </c>
      <c r="C33" s="167">
        <v>46523.00483</v>
      </c>
      <c r="D33" s="167">
        <v>-7025.839930000002</v>
      </c>
      <c r="E33" s="147">
        <v>0.8489813812398153</v>
      </c>
      <c r="F33" s="193"/>
    </row>
    <row r="34" spans="1:6" ht="15">
      <c r="A34" s="172"/>
      <c r="B34" s="63"/>
      <c r="C34" s="63"/>
      <c r="D34" s="63"/>
      <c r="E34" s="148"/>
      <c r="F34" s="191"/>
    </row>
    <row r="35" spans="1:6" ht="15">
      <c r="A35" s="173" t="s">
        <v>189</v>
      </c>
      <c r="B35" s="166">
        <v>-711710.6752704452</v>
      </c>
      <c r="C35" s="46">
        <v>4771256.435310001</v>
      </c>
      <c r="D35" s="166">
        <v>-1193645.0529504414</v>
      </c>
      <c r="E35" s="146">
        <v>0.740349482431465</v>
      </c>
      <c r="F35" s="191"/>
    </row>
    <row r="36" spans="1:6" ht="15.75" thickBot="1">
      <c r="A36" s="184">
        <v>0</v>
      </c>
      <c r="B36" s="185"/>
      <c r="C36" s="185"/>
      <c r="D36" s="185"/>
      <c r="E36" s="185"/>
      <c r="F36" s="194"/>
    </row>
    <row r="37" spans="1:6" ht="15.75" thickTop="1">
      <c r="A37" s="4" t="s">
        <v>7</v>
      </c>
      <c r="B37" s="4"/>
      <c r="C37" s="4"/>
      <c r="D37" s="4"/>
      <c r="E37" s="47"/>
      <c r="F37" s="47"/>
    </row>
    <row r="38" spans="1:6" ht="12.75">
      <c r="A38" s="1" t="s">
        <v>17</v>
      </c>
      <c r="B38" s="4"/>
      <c r="C38" s="4"/>
      <c r="D38" s="4"/>
      <c r="E38" s="4"/>
      <c r="F38" s="4"/>
    </row>
    <row r="39" spans="1:6" ht="12.75">
      <c r="A39" t="s">
        <v>198</v>
      </c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1:5" ht="12.75">
      <c r="A41" s="144"/>
      <c r="B41" s="144"/>
      <c r="C41" s="144"/>
      <c r="D41" s="144"/>
      <c r="E41" s="144"/>
    </row>
    <row r="46" ht="12.75">
      <c r="A46" s="149"/>
    </row>
    <row r="47" ht="12.75">
      <c r="A47" s="150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2" r:id="rId1"/>
  <headerFooter alignWithMargins="0">
    <oddHeader>&amp;LFachgruppe für kantonale Finanzfragen (FkF)
Groupe d'étude pour les finances cantonales&amp;RZürich, 12.9.2013</oddHeader>
    <oddFooter>&amp;LQuelle/Source: FkF Sept.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86"/>
  <sheetViews>
    <sheetView zoomScale="115" zoomScaleNormal="115" zoomScalePageLayoutView="0" workbookViewId="0" topLeftCell="A1">
      <selection activeCell="A1" sqref="A1:G186"/>
    </sheetView>
  </sheetViews>
  <sheetFormatPr defaultColWidth="11.421875" defaultRowHeight="12.75"/>
  <cols>
    <col min="1" max="1" width="16.7109375" style="252" customWidth="1"/>
    <col min="2" max="2" width="3.7109375" style="252" customWidth="1"/>
    <col min="3" max="3" width="39.7109375" style="252" customWidth="1"/>
    <col min="4" max="8" width="11.28125" style="252" customWidth="1"/>
    <col min="9" max="16384" width="11.421875" style="252" customWidth="1"/>
  </cols>
  <sheetData>
    <row r="1" spans="1:55" s="243" customFormat="1" ht="18" customHeight="1">
      <c r="A1" s="476" t="s">
        <v>220</v>
      </c>
      <c r="B1" s="535" t="s">
        <v>456</v>
      </c>
      <c r="C1" s="535" t="s">
        <v>104</v>
      </c>
      <c r="D1" s="241" t="s">
        <v>22</v>
      </c>
      <c r="E1" s="240" t="s">
        <v>105</v>
      </c>
      <c r="F1" s="241" t="s">
        <v>22</v>
      </c>
      <c r="G1" s="240" t="s">
        <v>105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7" s="249" customFormat="1" ht="15" customHeight="1">
      <c r="A2" s="244"/>
      <c r="B2" s="245"/>
      <c r="C2" s="246" t="s">
        <v>222</v>
      </c>
      <c r="D2" s="248">
        <v>2011</v>
      </c>
      <c r="E2" s="247">
        <v>2012</v>
      </c>
      <c r="F2" s="248">
        <v>2012</v>
      </c>
      <c r="G2" s="247">
        <v>2013</v>
      </c>
    </row>
    <row r="3" spans="1:7" ht="15" customHeight="1">
      <c r="A3" s="609" t="s">
        <v>223</v>
      </c>
      <c r="B3" s="610"/>
      <c r="C3" s="610"/>
      <c r="D3" s="250"/>
      <c r="F3" s="250"/>
      <c r="G3" s="253" t="s">
        <v>103</v>
      </c>
    </row>
    <row r="4" spans="1:7" s="260" customFormat="1" ht="12.75" customHeight="1">
      <c r="A4" s="479">
        <v>30</v>
      </c>
      <c r="B4" s="480"/>
      <c r="C4" s="256" t="s">
        <v>29</v>
      </c>
      <c r="D4" s="257"/>
      <c r="E4" s="257">
        <v>620155.19101</v>
      </c>
      <c r="F4" s="258">
        <v>627218.83746</v>
      </c>
      <c r="G4" s="259">
        <v>632104.238</v>
      </c>
    </row>
    <row r="5" spans="1:7" s="260" customFormat="1" ht="12.75" customHeight="1">
      <c r="A5" s="261">
        <v>31</v>
      </c>
      <c r="B5" s="262"/>
      <c r="C5" s="263" t="s">
        <v>224</v>
      </c>
      <c r="D5" s="264"/>
      <c r="E5" s="264">
        <v>223471.6151</v>
      </c>
      <c r="F5" s="266">
        <v>219817.70624</v>
      </c>
      <c r="G5" s="267">
        <v>227524.795</v>
      </c>
    </row>
    <row r="6" spans="1:7" s="260" customFormat="1" ht="12.75" customHeight="1">
      <c r="A6" s="268" t="s">
        <v>32</v>
      </c>
      <c r="B6" s="269"/>
      <c r="C6" s="270" t="s">
        <v>225</v>
      </c>
      <c r="D6" s="271"/>
      <c r="E6" s="271">
        <v>36272.942</v>
      </c>
      <c r="F6" s="272">
        <v>42188.452</v>
      </c>
      <c r="G6" s="273">
        <v>37316.762</v>
      </c>
    </row>
    <row r="7" spans="1:7" s="260" customFormat="1" ht="12.75" customHeight="1">
      <c r="A7" s="268" t="s">
        <v>226</v>
      </c>
      <c r="B7" s="269"/>
      <c r="C7" s="270" t="s">
        <v>227</v>
      </c>
      <c r="D7" s="271"/>
      <c r="E7" s="271">
        <v>-53.897</v>
      </c>
      <c r="F7" s="272">
        <v>150</v>
      </c>
      <c r="G7" s="273">
        <v>0</v>
      </c>
    </row>
    <row r="8" spans="1:7" s="260" customFormat="1" ht="12.75" customHeight="1">
      <c r="A8" s="274">
        <v>330</v>
      </c>
      <c r="B8" s="262"/>
      <c r="C8" s="263" t="s">
        <v>228</v>
      </c>
      <c r="D8" s="275"/>
      <c r="E8" s="275">
        <v>111988.739</v>
      </c>
      <c r="F8" s="266">
        <v>116744.584</v>
      </c>
      <c r="G8" s="276">
        <v>120252.755</v>
      </c>
    </row>
    <row r="9" spans="1:7" s="260" customFormat="1" ht="12.75" customHeight="1">
      <c r="A9" s="274">
        <v>332</v>
      </c>
      <c r="B9" s="262"/>
      <c r="C9" s="263" t="s">
        <v>229</v>
      </c>
      <c r="D9" s="275"/>
      <c r="E9" s="275">
        <v>9453.932</v>
      </c>
      <c r="F9" s="266">
        <v>11041.653</v>
      </c>
      <c r="G9" s="276">
        <v>12580.212</v>
      </c>
    </row>
    <row r="10" spans="1:7" s="260" customFormat="1" ht="12.75" customHeight="1">
      <c r="A10" s="274">
        <v>339</v>
      </c>
      <c r="B10" s="262"/>
      <c r="C10" s="263" t="s">
        <v>230</v>
      </c>
      <c r="D10" s="275"/>
      <c r="E10" s="275">
        <v>0</v>
      </c>
      <c r="F10" s="266">
        <v>0</v>
      </c>
      <c r="G10" s="276">
        <v>0</v>
      </c>
    </row>
    <row r="11" spans="1:7" s="260" customFormat="1" ht="12.75" customHeight="1">
      <c r="A11" s="261">
        <v>350</v>
      </c>
      <c r="B11" s="262"/>
      <c r="C11" s="263" t="s">
        <v>231</v>
      </c>
      <c r="D11" s="275"/>
      <c r="E11" s="275">
        <v>0</v>
      </c>
      <c r="F11" s="275">
        <v>7786.231</v>
      </c>
      <c r="G11" s="277">
        <v>0</v>
      </c>
    </row>
    <row r="12" spans="1:7" s="285" customFormat="1" ht="12.75">
      <c r="A12" s="278">
        <v>351</v>
      </c>
      <c r="B12" s="279"/>
      <c r="C12" s="280" t="s">
        <v>232</v>
      </c>
      <c r="D12" s="346"/>
      <c r="E12" s="282">
        <v>0</v>
      </c>
      <c r="F12" s="283">
        <v>0</v>
      </c>
      <c r="G12" s="482">
        <v>0</v>
      </c>
    </row>
    <row r="13" spans="1:7" s="260" customFormat="1" ht="12.75" customHeight="1">
      <c r="A13" s="261">
        <v>36</v>
      </c>
      <c r="B13" s="262"/>
      <c r="C13" s="263" t="s">
        <v>233</v>
      </c>
      <c r="D13" s="275"/>
      <c r="E13" s="264">
        <v>1631953.334</v>
      </c>
      <c r="F13" s="286">
        <v>1656856.02</v>
      </c>
      <c r="G13" s="276">
        <v>1684018.718</v>
      </c>
    </row>
    <row r="14" spans="1:7" s="260" customFormat="1" ht="12.75" customHeight="1">
      <c r="A14" s="287" t="s">
        <v>234</v>
      </c>
      <c r="B14" s="262"/>
      <c r="C14" s="288" t="s">
        <v>235</v>
      </c>
      <c r="D14" s="275"/>
      <c r="E14" s="323">
        <v>337935.791</v>
      </c>
      <c r="F14" s="286">
        <v>299549.006</v>
      </c>
      <c r="G14" s="276">
        <v>345707.42</v>
      </c>
    </row>
    <row r="15" spans="1:7" s="260" customFormat="1" ht="12.75" customHeight="1">
      <c r="A15" s="287" t="s">
        <v>236</v>
      </c>
      <c r="B15" s="262"/>
      <c r="C15" s="288" t="s">
        <v>237</v>
      </c>
      <c r="D15" s="275"/>
      <c r="E15" s="323">
        <v>4890.424</v>
      </c>
      <c r="F15" s="286">
        <v>63109.809</v>
      </c>
      <c r="G15" s="276">
        <v>5319.294</v>
      </c>
    </row>
    <row r="16" spans="1:7" s="297" customFormat="1" ht="26.25" customHeight="1">
      <c r="A16" s="287" t="s">
        <v>238</v>
      </c>
      <c r="B16" s="483"/>
      <c r="C16" s="288" t="s">
        <v>239</v>
      </c>
      <c r="D16" s="293"/>
      <c r="E16" s="294">
        <v>21058.52</v>
      </c>
      <c r="F16" s="295">
        <v>20959.667</v>
      </c>
      <c r="G16" s="296">
        <v>22327.62</v>
      </c>
    </row>
    <row r="17" spans="1:7" s="299" customFormat="1" ht="12.75">
      <c r="A17" s="261">
        <v>37</v>
      </c>
      <c r="B17" s="262"/>
      <c r="C17" s="263" t="s">
        <v>240</v>
      </c>
      <c r="D17" s="316"/>
      <c r="E17" s="264">
        <v>436322.55</v>
      </c>
      <c r="F17" s="286">
        <v>448243.063</v>
      </c>
      <c r="G17" s="298">
        <v>445049.326</v>
      </c>
    </row>
    <row r="18" spans="1:7" s="299" customFormat="1" ht="12.75">
      <c r="A18" s="322" t="s">
        <v>241</v>
      </c>
      <c r="B18" s="269"/>
      <c r="C18" s="270" t="s">
        <v>242</v>
      </c>
      <c r="D18" s="316"/>
      <c r="E18" s="323">
        <v>700</v>
      </c>
      <c r="F18" s="286">
        <v>963.779</v>
      </c>
      <c r="G18" s="298">
        <v>800</v>
      </c>
    </row>
    <row r="19" spans="1:7" s="299" customFormat="1" ht="12.75">
      <c r="A19" s="322" t="s">
        <v>243</v>
      </c>
      <c r="B19" s="269"/>
      <c r="C19" s="270" t="s">
        <v>244</v>
      </c>
      <c r="D19" s="316"/>
      <c r="E19" s="323">
        <v>3313</v>
      </c>
      <c r="F19" s="286">
        <v>1346.362</v>
      </c>
      <c r="G19" s="298">
        <v>3126.946</v>
      </c>
    </row>
    <row r="20" spans="1:7" s="260" customFormat="1" ht="12.75" customHeight="1">
      <c r="A20" s="301">
        <v>39</v>
      </c>
      <c r="B20" s="302"/>
      <c r="C20" s="303" t="s">
        <v>245</v>
      </c>
      <c r="D20" s="306"/>
      <c r="E20" s="304">
        <v>403009.064</v>
      </c>
      <c r="F20" s="307">
        <v>414769.869</v>
      </c>
      <c r="G20" s="308">
        <v>417642.558</v>
      </c>
    </row>
    <row r="21" spans="1:7" ht="12.75" customHeight="1">
      <c r="A21" s="309"/>
      <c r="B21" s="309"/>
      <c r="C21" s="310" t="s">
        <v>246</v>
      </c>
      <c r="D21" s="311">
        <f>D4+D5+SUM(D8:D13)+D17</f>
        <v>0</v>
      </c>
      <c r="E21" s="311">
        <f>E4+E5+SUM(E8:E13)+E17</f>
        <v>3033345.36111</v>
      </c>
      <c r="F21" s="311">
        <f>F4+F5+SUM(F8:F13)+F17</f>
        <v>3087708.0947</v>
      </c>
      <c r="G21" s="311">
        <f>G4+G5+SUM(G8:G13)+G17</f>
        <v>3121530.044</v>
      </c>
    </row>
    <row r="22" spans="1:7" s="260" customFormat="1" ht="12.75" customHeight="1">
      <c r="A22" s="274" t="s">
        <v>247</v>
      </c>
      <c r="B22" s="262"/>
      <c r="C22" s="263" t="s">
        <v>248</v>
      </c>
      <c r="D22" s="275"/>
      <c r="E22" s="275">
        <v>868700</v>
      </c>
      <c r="F22" s="266">
        <v>844737.78</v>
      </c>
      <c r="G22" s="276">
        <v>923032.53</v>
      </c>
    </row>
    <row r="23" spans="1:7" s="260" customFormat="1" ht="12.75" customHeight="1">
      <c r="A23" s="274" t="s">
        <v>249</v>
      </c>
      <c r="B23" s="262"/>
      <c r="C23" s="263" t="s">
        <v>250</v>
      </c>
      <c r="D23" s="275"/>
      <c r="E23" s="275">
        <v>191809</v>
      </c>
      <c r="F23" s="266">
        <v>203982.075</v>
      </c>
      <c r="G23" s="276">
        <v>200182</v>
      </c>
    </row>
    <row r="24" spans="1:7" s="313" customFormat="1" ht="12.75" customHeight="1">
      <c r="A24" s="261">
        <v>41</v>
      </c>
      <c r="B24" s="262"/>
      <c r="C24" s="263" t="s">
        <v>251</v>
      </c>
      <c r="D24" s="275"/>
      <c r="E24" s="275">
        <v>51519</v>
      </c>
      <c r="F24" s="266">
        <v>57851.743</v>
      </c>
      <c r="G24" s="276">
        <v>52893</v>
      </c>
    </row>
    <row r="25" spans="1:7" s="260" customFormat="1" ht="12.75" customHeight="1">
      <c r="A25" s="314">
        <v>42</v>
      </c>
      <c r="B25" s="315"/>
      <c r="C25" s="263" t="s">
        <v>252</v>
      </c>
      <c r="D25" s="275"/>
      <c r="E25" s="275">
        <v>203043.787</v>
      </c>
      <c r="F25" s="266">
        <v>205721.673</v>
      </c>
      <c r="G25" s="276">
        <v>201890.935</v>
      </c>
    </row>
    <row r="26" spans="1:7" s="318" customFormat="1" ht="12.75" customHeight="1">
      <c r="A26" s="278">
        <v>430</v>
      </c>
      <c r="B26" s="262"/>
      <c r="C26" s="263" t="s">
        <v>253</v>
      </c>
      <c r="D26" s="316"/>
      <c r="E26" s="316">
        <v>250</v>
      </c>
      <c r="F26" s="317">
        <v>280.73</v>
      </c>
      <c r="G26" s="298">
        <v>250</v>
      </c>
    </row>
    <row r="27" spans="1:7" s="318" customFormat="1" ht="12.75" customHeight="1">
      <c r="A27" s="278">
        <v>431</v>
      </c>
      <c r="B27" s="262"/>
      <c r="C27" s="263" t="s">
        <v>254</v>
      </c>
      <c r="D27" s="316"/>
      <c r="E27" s="316">
        <v>0</v>
      </c>
      <c r="F27" s="317">
        <v>256.596</v>
      </c>
      <c r="G27" s="298">
        <v>0</v>
      </c>
    </row>
    <row r="28" spans="1:7" s="318" customFormat="1" ht="12.75" customHeight="1">
      <c r="A28" s="278">
        <v>432</v>
      </c>
      <c r="B28" s="262"/>
      <c r="C28" s="263" t="s">
        <v>255</v>
      </c>
      <c r="D28" s="316"/>
      <c r="E28" s="316">
        <v>0</v>
      </c>
      <c r="F28" s="317">
        <v>0</v>
      </c>
      <c r="G28" s="298">
        <v>0</v>
      </c>
    </row>
    <row r="29" spans="1:7" s="318" customFormat="1" ht="12.75" customHeight="1">
      <c r="A29" s="278">
        <v>439</v>
      </c>
      <c r="B29" s="262"/>
      <c r="C29" s="263" t="s">
        <v>256</v>
      </c>
      <c r="D29" s="316"/>
      <c r="E29" s="316">
        <v>0</v>
      </c>
      <c r="F29" s="317">
        <v>0</v>
      </c>
      <c r="G29" s="298">
        <v>0</v>
      </c>
    </row>
    <row r="30" spans="1:7" s="260" customFormat="1" ht="25.5">
      <c r="A30" s="278">
        <v>450</v>
      </c>
      <c r="B30" s="279"/>
      <c r="C30" s="280" t="s">
        <v>257</v>
      </c>
      <c r="D30" s="264"/>
      <c r="E30" s="264">
        <v>2492.522</v>
      </c>
      <c r="F30" s="264">
        <v>5320.062</v>
      </c>
      <c r="G30" s="319">
        <v>1456.187</v>
      </c>
    </row>
    <row r="31" spans="1:7" s="285" customFormat="1" ht="25.5">
      <c r="A31" s="278">
        <v>451</v>
      </c>
      <c r="B31" s="279"/>
      <c r="C31" s="280" t="s">
        <v>258</v>
      </c>
      <c r="D31" s="275"/>
      <c r="E31" s="281">
        <v>0</v>
      </c>
      <c r="F31" s="320">
        <v>0</v>
      </c>
      <c r="G31" s="276">
        <v>0</v>
      </c>
    </row>
    <row r="32" spans="1:7" s="260" customFormat="1" ht="12.75" customHeight="1">
      <c r="A32" s="261">
        <v>46</v>
      </c>
      <c r="B32" s="262"/>
      <c r="C32" s="263" t="s">
        <v>259</v>
      </c>
      <c r="D32" s="275"/>
      <c r="E32" s="275">
        <v>1189788.112</v>
      </c>
      <c r="F32" s="266">
        <v>1175686.892</v>
      </c>
      <c r="G32" s="276">
        <v>1203384.845</v>
      </c>
    </row>
    <row r="33" spans="1:7" s="285" customFormat="1" ht="12.75" customHeight="1">
      <c r="A33" s="322" t="s">
        <v>260</v>
      </c>
      <c r="B33" s="269"/>
      <c r="C33" s="270" t="s">
        <v>261</v>
      </c>
      <c r="D33" s="271"/>
      <c r="E33" s="271">
        <v>14598.742</v>
      </c>
      <c r="F33" s="266">
        <v>13702.967</v>
      </c>
      <c r="G33" s="273">
        <v>15184.431</v>
      </c>
    </row>
    <row r="34" spans="1:7" s="260" customFormat="1" ht="15" customHeight="1">
      <c r="A34" s="261">
        <v>47</v>
      </c>
      <c r="B34" s="262"/>
      <c r="C34" s="263" t="s">
        <v>240</v>
      </c>
      <c r="D34" s="275"/>
      <c r="E34" s="275">
        <v>436322.55</v>
      </c>
      <c r="F34" s="266">
        <v>448243.063</v>
      </c>
      <c r="G34" s="276">
        <v>445049.326</v>
      </c>
    </row>
    <row r="35" spans="1:7" s="260" customFormat="1" ht="15" customHeight="1">
      <c r="A35" s="301">
        <v>49</v>
      </c>
      <c r="B35" s="302"/>
      <c r="C35" s="303" t="s">
        <v>262</v>
      </c>
      <c r="D35" s="306"/>
      <c r="E35" s="304">
        <v>403009.064</v>
      </c>
      <c r="F35" s="307">
        <v>414769.869</v>
      </c>
      <c r="G35" s="486">
        <v>417642.558</v>
      </c>
    </row>
    <row r="36" spans="1:7" ht="13.5" customHeight="1">
      <c r="A36" s="309"/>
      <c r="B36" s="335"/>
      <c r="C36" s="310" t="s">
        <v>263</v>
      </c>
      <c r="D36" s="311">
        <f>D22+D23+D24+D25+D26+D27+D28+D29+D30+D31+D32+D34</f>
        <v>0</v>
      </c>
      <c r="E36" s="311">
        <f>E22+E23+E24+E25+E26+E27+E28+E29+E30+E31+E32+E34</f>
        <v>2943924.971</v>
      </c>
      <c r="F36" s="311">
        <f>F22+F23+F24+F25+F26+F27+F28+F29+F30+F31+F32+F34</f>
        <v>2942080.614</v>
      </c>
      <c r="G36" s="311">
        <f>G22+G23+G24+G25+G26+G27+G28+G29+G30+G31+G32+G34</f>
        <v>3028138.823</v>
      </c>
    </row>
    <row r="37" spans="1:7" s="487" customFormat="1" ht="15" customHeight="1">
      <c r="A37" s="309"/>
      <c r="B37" s="335"/>
      <c r="C37" s="310" t="s">
        <v>264</v>
      </c>
      <c r="D37" s="311">
        <f>D36-D21</f>
        <v>0</v>
      </c>
      <c r="E37" s="311">
        <f>E36-E21</f>
        <v>-89420.39011000004</v>
      </c>
      <c r="F37" s="311">
        <f>F36-F21</f>
        <v>-145627.48069999972</v>
      </c>
      <c r="G37" s="311">
        <f>G36-G21</f>
        <v>-93391.22100000037</v>
      </c>
    </row>
    <row r="38" spans="1:7" s="285" customFormat="1" ht="15" customHeight="1">
      <c r="A38" s="274">
        <v>340</v>
      </c>
      <c r="B38" s="262"/>
      <c r="C38" s="263" t="s">
        <v>265</v>
      </c>
      <c r="D38" s="316"/>
      <c r="E38" s="264">
        <v>32173</v>
      </c>
      <c r="F38" s="286">
        <v>31982.508</v>
      </c>
      <c r="G38" s="276">
        <v>28418.69</v>
      </c>
    </row>
    <row r="39" spans="1:7" s="285" customFormat="1" ht="15" customHeight="1">
      <c r="A39" s="274">
        <v>341</v>
      </c>
      <c r="B39" s="262"/>
      <c r="C39" s="263" t="s">
        <v>266</v>
      </c>
      <c r="D39" s="316"/>
      <c r="E39" s="275">
        <v>0</v>
      </c>
      <c r="F39" s="266">
        <v>1.561</v>
      </c>
      <c r="G39" s="276">
        <v>0</v>
      </c>
    </row>
    <row r="40" spans="1:7" s="285" customFormat="1" ht="15" customHeight="1">
      <c r="A40" s="274">
        <v>342</v>
      </c>
      <c r="B40" s="262"/>
      <c r="C40" s="263" t="s">
        <v>267</v>
      </c>
      <c r="D40" s="316"/>
      <c r="E40" s="275">
        <v>415</v>
      </c>
      <c r="F40" s="266">
        <v>333.853</v>
      </c>
      <c r="G40" s="276">
        <v>425</v>
      </c>
    </row>
    <row r="41" spans="1:7" s="285" customFormat="1" ht="15" customHeight="1">
      <c r="A41" s="274">
        <v>343</v>
      </c>
      <c r="B41" s="262"/>
      <c r="C41" s="263" t="s">
        <v>268</v>
      </c>
      <c r="D41" s="316"/>
      <c r="E41" s="275">
        <v>3915.2</v>
      </c>
      <c r="F41" s="266">
        <v>929.873</v>
      </c>
      <c r="G41" s="276">
        <v>3055.8</v>
      </c>
    </row>
    <row r="42" spans="1:7" s="285" customFormat="1" ht="15" customHeight="1">
      <c r="A42" s="274">
        <v>344</v>
      </c>
      <c r="B42" s="262"/>
      <c r="C42" s="263" t="s">
        <v>269</v>
      </c>
      <c r="D42" s="316"/>
      <c r="E42" s="275">
        <v>0</v>
      </c>
      <c r="F42" s="266">
        <v>1614.316</v>
      </c>
      <c r="G42" s="276">
        <v>0</v>
      </c>
    </row>
    <row r="43" spans="1:7" s="285" customFormat="1" ht="15" customHeight="1">
      <c r="A43" s="274">
        <v>349</v>
      </c>
      <c r="B43" s="262"/>
      <c r="C43" s="263" t="s">
        <v>270</v>
      </c>
      <c r="D43" s="316"/>
      <c r="E43" s="275">
        <v>5650.119</v>
      </c>
      <c r="F43" s="266">
        <v>5343.356</v>
      </c>
      <c r="G43" s="276">
        <v>4566.15</v>
      </c>
    </row>
    <row r="44" spans="1:7" s="260" customFormat="1" ht="15" customHeight="1">
      <c r="A44" s="261">
        <v>440</v>
      </c>
      <c r="B44" s="262"/>
      <c r="C44" s="263" t="s">
        <v>271</v>
      </c>
      <c r="D44" s="316"/>
      <c r="E44" s="264">
        <v>5139.2</v>
      </c>
      <c r="F44" s="286">
        <v>5246.297</v>
      </c>
      <c r="G44" s="276">
        <v>4084.17</v>
      </c>
    </row>
    <row r="45" spans="1:7" s="260" customFormat="1" ht="15" customHeight="1">
      <c r="A45" s="261">
        <v>441</v>
      </c>
      <c r="B45" s="262"/>
      <c r="C45" s="263" t="s">
        <v>272</v>
      </c>
      <c r="D45" s="316"/>
      <c r="E45" s="264">
        <v>0</v>
      </c>
      <c r="F45" s="286">
        <v>1849.895</v>
      </c>
      <c r="G45" s="276">
        <v>100</v>
      </c>
    </row>
    <row r="46" spans="1:7" s="260" customFormat="1" ht="15" customHeight="1">
      <c r="A46" s="261">
        <v>442</v>
      </c>
      <c r="B46" s="262"/>
      <c r="C46" s="263" t="s">
        <v>273</v>
      </c>
      <c r="D46" s="316"/>
      <c r="E46" s="264">
        <v>15187</v>
      </c>
      <c r="F46" s="286">
        <v>12593.35</v>
      </c>
      <c r="G46" s="276">
        <v>12549</v>
      </c>
    </row>
    <row r="47" spans="1:7" s="260" customFormat="1" ht="15" customHeight="1">
      <c r="A47" s="261">
        <v>443</v>
      </c>
      <c r="B47" s="262"/>
      <c r="C47" s="263" t="s">
        <v>274</v>
      </c>
      <c r="D47" s="316"/>
      <c r="E47" s="264">
        <v>7310</v>
      </c>
      <c r="F47" s="286">
        <v>9882.366</v>
      </c>
      <c r="G47" s="276">
        <v>6949.8</v>
      </c>
    </row>
    <row r="48" spans="1:7" s="260" customFormat="1" ht="15" customHeight="1">
      <c r="A48" s="261">
        <v>444</v>
      </c>
      <c r="B48" s="262"/>
      <c r="C48" s="263" t="s">
        <v>269</v>
      </c>
      <c r="D48" s="316"/>
      <c r="E48" s="264">
        <v>0</v>
      </c>
      <c r="F48" s="286">
        <v>2389.841</v>
      </c>
      <c r="G48" s="276">
        <v>0</v>
      </c>
    </row>
    <row r="49" spans="1:7" s="260" customFormat="1" ht="15" customHeight="1">
      <c r="A49" s="261">
        <v>445</v>
      </c>
      <c r="B49" s="262"/>
      <c r="C49" s="263" t="s">
        <v>275</v>
      </c>
      <c r="D49" s="316"/>
      <c r="E49" s="264">
        <v>74808.166</v>
      </c>
      <c r="F49" s="286">
        <v>74721.243</v>
      </c>
      <c r="G49" s="276">
        <v>68694.837</v>
      </c>
    </row>
    <row r="50" spans="1:7" s="260" customFormat="1" ht="15" customHeight="1">
      <c r="A50" s="261">
        <v>446</v>
      </c>
      <c r="B50" s="262"/>
      <c r="C50" s="263" t="s">
        <v>276</v>
      </c>
      <c r="D50" s="316"/>
      <c r="E50" s="264">
        <v>0</v>
      </c>
      <c r="F50" s="286">
        <v>526.52</v>
      </c>
      <c r="G50" s="276">
        <v>2526.5</v>
      </c>
    </row>
    <row r="51" spans="1:7" s="260" customFormat="1" ht="15" customHeight="1">
      <c r="A51" s="261">
        <v>447</v>
      </c>
      <c r="B51" s="262"/>
      <c r="C51" s="263" t="s">
        <v>277</v>
      </c>
      <c r="D51" s="316"/>
      <c r="E51" s="264">
        <v>22425.621</v>
      </c>
      <c r="F51" s="286">
        <v>21232.513</v>
      </c>
      <c r="G51" s="276">
        <v>23829.06</v>
      </c>
    </row>
    <row r="52" spans="1:7" s="260" customFormat="1" ht="15" customHeight="1">
      <c r="A52" s="261">
        <v>448</v>
      </c>
      <c r="B52" s="262"/>
      <c r="C52" s="263" t="s">
        <v>278</v>
      </c>
      <c r="D52" s="316"/>
      <c r="E52" s="264">
        <v>0</v>
      </c>
      <c r="F52" s="286">
        <v>0</v>
      </c>
      <c r="G52" s="276">
        <v>0</v>
      </c>
    </row>
    <row r="53" spans="1:7" s="260" customFormat="1" ht="15" customHeight="1">
      <c r="A53" s="261">
        <v>449</v>
      </c>
      <c r="B53" s="262"/>
      <c r="C53" s="263" t="s">
        <v>279</v>
      </c>
      <c r="D53" s="316"/>
      <c r="E53" s="264">
        <v>0</v>
      </c>
      <c r="F53" s="286">
        <v>0</v>
      </c>
      <c r="G53" s="276">
        <v>0</v>
      </c>
    </row>
    <row r="54" spans="1:7" s="285" customFormat="1" ht="13.5" customHeight="1">
      <c r="A54" s="329" t="s">
        <v>280</v>
      </c>
      <c r="B54" s="330"/>
      <c r="C54" s="330" t="s">
        <v>281</v>
      </c>
      <c r="D54" s="497"/>
      <c r="E54" s="306">
        <v>0</v>
      </c>
      <c r="F54" s="333">
        <v>0</v>
      </c>
      <c r="G54" s="334">
        <v>0</v>
      </c>
    </row>
    <row r="55" spans="1:7" ht="15" customHeight="1">
      <c r="A55" s="335"/>
      <c r="B55" s="335"/>
      <c r="C55" s="310" t="s">
        <v>282</v>
      </c>
      <c r="D55" s="311">
        <f>SUM(D44:D53)-SUM(D38:D43)</f>
        <v>0</v>
      </c>
      <c r="E55" s="311">
        <f>SUM(E44:E53)-SUM(E38:E43)</f>
        <v>82716.668</v>
      </c>
      <c r="F55" s="311">
        <f>SUM(F44:F53)-SUM(F38:F43)</f>
        <v>88236.55799999999</v>
      </c>
      <c r="G55" s="311">
        <f>SUM(G44:G53)-SUM(G38:G43)</f>
        <v>82267.727</v>
      </c>
    </row>
    <row r="56" spans="1:7" ht="14.25" customHeight="1">
      <c r="A56" s="335"/>
      <c r="B56" s="335"/>
      <c r="C56" s="310" t="s">
        <v>283</v>
      </c>
      <c r="D56" s="311">
        <f>D55+D37</f>
        <v>0</v>
      </c>
      <c r="E56" s="311">
        <f>E55+E37</f>
        <v>-6703.7221100000315</v>
      </c>
      <c r="F56" s="311">
        <f>F55+F37</f>
        <v>-57390.92269999973</v>
      </c>
      <c r="G56" s="311">
        <f>G55+G37</f>
        <v>-11123.49400000037</v>
      </c>
    </row>
    <row r="57" spans="1:7" s="260" customFormat="1" ht="15.75" customHeight="1">
      <c r="A57" s="336">
        <v>380</v>
      </c>
      <c r="B57" s="337"/>
      <c r="C57" s="338" t="s">
        <v>284</v>
      </c>
      <c r="D57" s="340"/>
      <c r="E57" s="339">
        <v>0</v>
      </c>
      <c r="F57" s="341">
        <v>0</v>
      </c>
      <c r="G57" s="342">
        <v>0</v>
      </c>
    </row>
    <row r="58" spans="1:7" s="260" customFormat="1" ht="15.75" customHeight="1">
      <c r="A58" s="336">
        <v>381</v>
      </c>
      <c r="B58" s="337"/>
      <c r="C58" s="338" t="s">
        <v>285</v>
      </c>
      <c r="D58" s="340"/>
      <c r="E58" s="339">
        <v>0</v>
      </c>
      <c r="F58" s="341">
        <v>0</v>
      </c>
      <c r="G58" s="342">
        <v>0</v>
      </c>
    </row>
    <row r="59" spans="1:7" s="285" customFormat="1" ht="25.5">
      <c r="A59" s="278">
        <v>383</v>
      </c>
      <c r="B59" s="279"/>
      <c r="C59" s="280" t="s">
        <v>286</v>
      </c>
      <c r="D59" s="344"/>
      <c r="E59" s="264">
        <v>0</v>
      </c>
      <c r="F59" s="345">
        <v>0</v>
      </c>
      <c r="G59" s="321">
        <v>0</v>
      </c>
    </row>
    <row r="60" spans="1:7" s="285" customFormat="1" ht="12.75">
      <c r="A60" s="278">
        <v>3840</v>
      </c>
      <c r="B60" s="279"/>
      <c r="C60" s="280" t="s">
        <v>287</v>
      </c>
      <c r="D60" s="346"/>
      <c r="E60" s="491">
        <v>0</v>
      </c>
      <c r="F60" s="508">
        <v>0</v>
      </c>
      <c r="G60" s="482">
        <v>0</v>
      </c>
    </row>
    <row r="61" spans="1:7" s="285" customFormat="1" ht="12.75">
      <c r="A61" s="278">
        <v>3841</v>
      </c>
      <c r="B61" s="279"/>
      <c r="C61" s="280" t="s">
        <v>288</v>
      </c>
      <c r="D61" s="346"/>
      <c r="E61" s="491">
        <v>0</v>
      </c>
      <c r="F61" s="508">
        <v>0</v>
      </c>
      <c r="G61" s="482">
        <v>0</v>
      </c>
    </row>
    <row r="62" spans="1:7" s="285" customFormat="1" ht="12.75">
      <c r="A62" s="349">
        <v>386</v>
      </c>
      <c r="B62" s="350"/>
      <c r="C62" s="351" t="s">
        <v>289</v>
      </c>
      <c r="D62" s="346"/>
      <c r="E62" s="491">
        <v>0</v>
      </c>
      <c r="F62" s="508">
        <v>0</v>
      </c>
      <c r="G62" s="482">
        <v>0</v>
      </c>
    </row>
    <row r="63" spans="1:7" s="285" customFormat="1" ht="25.5">
      <c r="A63" s="278">
        <v>387</v>
      </c>
      <c r="B63" s="279"/>
      <c r="C63" s="280" t="s">
        <v>290</v>
      </c>
      <c r="D63" s="346"/>
      <c r="E63" s="491">
        <v>0</v>
      </c>
      <c r="F63" s="508">
        <v>0</v>
      </c>
      <c r="G63" s="482">
        <v>0</v>
      </c>
    </row>
    <row r="64" spans="1:7" s="285" customFormat="1" ht="12.75">
      <c r="A64" s="322">
        <v>389</v>
      </c>
      <c r="B64" s="533"/>
      <c r="C64" s="270" t="s">
        <v>57</v>
      </c>
      <c r="D64" s="271"/>
      <c r="E64" s="275">
        <v>0</v>
      </c>
      <c r="F64" s="272">
        <v>0</v>
      </c>
      <c r="G64" s="273">
        <v>0</v>
      </c>
    </row>
    <row r="65" spans="1:7" s="260" customFormat="1" ht="12.75">
      <c r="A65" s="274" t="s">
        <v>291</v>
      </c>
      <c r="B65" s="262"/>
      <c r="C65" s="263" t="s">
        <v>292</v>
      </c>
      <c r="D65" s="275"/>
      <c r="E65" s="275">
        <v>0</v>
      </c>
      <c r="F65" s="266">
        <v>0</v>
      </c>
      <c r="G65" s="276">
        <v>0</v>
      </c>
    </row>
    <row r="66" spans="1:7" s="355" customFormat="1" ht="25.5">
      <c r="A66" s="492" t="s">
        <v>293</v>
      </c>
      <c r="B66" s="354"/>
      <c r="C66" s="280" t="s">
        <v>294</v>
      </c>
      <c r="D66" s="344"/>
      <c r="E66" s="344">
        <v>0</v>
      </c>
      <c r="F66" s="312">
        <v>0</v>
      </c>
      <c r="G66" s="321">
        <v>0</v>
      </c>
    </row>
    <row r="67" spans="1:7" s="260" customFormat="1" ht="12.75">
      <c r="A67" s="353">
        <v>481</v>
      </c>
      <c r="B67" s="262"/>
      <c r="C67" s="263" t="s">
        <v>295</v>
      </c>
      <c r="D67" s="275"/>
      <c r="E67" s="275">
        <v>0</v>
      </c>
      <c r="F67" s="266">
        <v>0</v>
      </c>
      <c r="G67" s="276">
        <v>0</v>
      </c>
    </row>
    <row r="68" spans="1:7" s="260" customFormat="1" ht="12.75">
      <c r="A68" s="353">
        <v>482</v>
      </c>
      <c r="B68" s="262"/>
      <c r="C68" s="263" t="s">
        <v>296</v>
      </c>
      <c r="D68" s="275"/>
      <c r="E68" s="275">
        <v>0</v>
      </c>
      <c r="F68" s="266">
        <v>0</v>
      </c>
      <c r="G68" s="276">
        <v>0</v>
      </c>
    </row>
    <row r="69" spans="1:7" s="260" customFormat="1" ht="12.75">
      <c r="A69" s="353">
        <v>483</v>
      </c>
      <c r="B69" s="262"/>
      <c r="C69" s="263" t="s">
        <v>297</v>
      </c>
      <c r="D69" s="275"/>
      <c r="E69" s="275">
        <v>0</v>
      </c>
      <c r="F69" s="266">
        <v>0</v>
      </c>
      <c r="G69" s="276">
        <v>0</v>
      </c>
    </row>
    <row r="70" spans="1:7" s="260" customFormat="1" ht="12.75">
      <c r="A70" s="353">
        <v>484</v>
      </c>
      <c r="B70" s="262"/>
      <c r="C70" s="263" t="s">
        <v>298</v>
      </c>
      <c r="D70" s="275"/>
      <c r="E70" s="275">
        <v>0</v>
      </c>
      <c r="F70" s="266">
        <v>0</v>
      </c>
      <c r="G70" s="276">
        <v>0</v>
      </c>
    </row>
    <row r="71" spans="1:7" s="260" customFormat="1" ht="12.75">
      <c r="A71" s="353">
        <v>485</v>
      </c>
      <c r="B71" s="262"/>
      <c r="C71" s="263" t="s">
        <v>299</v>
      </c>
      <c r="D71" s="275"/>
      <c r="E71" s="275">
        <v>0</v>
      </c>
      <c r="F71" s="266">
        <v>0</v>
      </c>
      <c r="G71" s="276">
        <v>0</v>
      </c>
    </row>
    <row r="72" spans="1:7" s="260" customFormat="1" ht="12.75">
      <c r="A72" s="353">
        <v>486</v>
      </c>
      <c r="B72" s="262"/>
      <c r="C72" s="263" t="s">
        <v>300</v>
      </c>
      <c r="D72" s="275"/>
      <c r="E72" s="275">
        <v>0</v>
      </c>
      <c r="F72" s="266">
        <v>0</v>
      </c>
      <c r="G72" s="276">
        <v>0</v>
      </c>
    </row>
    <row r="73" spans="1:7" s="285" customFormat="1" ht="12.75">
      <c r="A73" s="353">
        <v>487</v>
      </c>
      <c r="B73" s="269"/>
      <c r="C73" s="263" t="s">
        <v>301</v>
      </c>
      <c r="D73" s="275"/>
      <c r="E73" s="264">
        <v>0</v>
      </c>
      <c r="F73" s="286">
        <v>0</v>
      </c>
      <c r="G73" s="276">
        <v>0</v>
      </c>
    </row>
    <row r="74" spans="1:7" s="285" customFormat="1" ht="12.75">
      <c r="A74" s="353">
        <v>489</v>
      </c>
      <c r="B74" s="356"/>
      <c r="C74" s="303" t="s">
        <v>74</v>
      </c>
      <c r="D74" s="275"/>
      <c r="E74" s="264">
        <v>0</v>
      </c>
      <c r="F74" s="286">
        <v>0</v>
      </c>
      <c r="G74" s="276">
        <v>0</v>
      </c>
    </row>
    <row r="75" spans="1:7" s="285" customFormat="1" ht="12.75">
      <c r="A75" s="357" t="s">
        <v>302</v>
      </c>
      <c r="B75" s="356"/>
      <c r="C75" s="303" t="s">
        <v>303</v>
      </c>
      <c r="D75" s="275"/>
      <c r="E75" s="275">
        <v>0</v>
      </c>
      <c r="F75" s="266">
        <v>0</v>
      </c>
      <c r="G75" s="276">
        <v>0</v>
      </c>
    </row>
    <row r="76" spans="1:7" ht="12.75">
      <c r="A76" s="309"/>
      <c r="B76" s="309"/>
      <c r="C76" s="310" t="s">
        <v>304</v>
      </c>
      <c r="D76" s="311">
        <f>SUM(D65:D74)-SUM(D57:D64)</f>
        <v>0</v>
      </c>
      <c r="E76" s="311">
        <f>SUM(E65:E74)-SUM(E57:E64)</f>
        <v>0</v>
      </c>
      <c r="F76" s="311">
        <f>SUM(F65:F74)-SUM(F57:F64)</f>
        <v>0</v>
      </c>
      <c r="G76" s="311">
        <f>SUM(G65:G74)-SUM(G57:G64)</f>
        <v>0</v>
      </c>
    </row>
    <row r="77" spans="1:7" ht="12.75">
      <c r="A77" s="358"/>
      <c r="B77" s="358"/>
      <c r="C77" s="310" t="s">
        <v>305</v>
      </c>
      <c r="D77" s="311">
        <f>D56+D76</f>
        <v>0</v>
      </c>
      <c r="E77" s="311">
        <f>E56+E76</f>
        <v>-6703.7221100000315</v>
      </c>
      <c r="F77" s="311">
        <f>F56+F76</f>
        <v>-57390.92269999973</v>
      </c>
      <c r="G77" s="311">
        <f>G56+G76</f>
        <v>-11123.49400000037</v>
      </c>
    </row>
    <row r="78" spans="1:7" ht="12.75">
      <c r="A78" s="359">
        <v>3</v>
      </c>
      <c r="B78" s="359"/>
      <c r="C78" s="360" t="s">
        <v>306</v>
      </c>
      <c r="D78" s="361">
        <f>D20+D21+SUM(D38:D43)+SUM(D57:D64)</f>
        <v>0</v>
      </c>
      <c r="E78" s="361">
        <f>E20+E21+SUM(E38:E43)+SUM(E57:E64)</f>
        <v>3478507.7441100003</v>
      </c>
      <c r="F78" s="361">
        <f>F20+F21+SUM(F38:F43)+SUM(F57:F64)</f>
        <v>3542683.4307</v>
      </c>
      <c r="G78" s="361">
        <f>G20+G21+SUM(G38:G43)+SUM(G57:G64)</f>
        <v>3575638.2420000006</v>
      </c>
    </row>
    <row r="79" spans="1:7" ht="12.75">
      <c r="A79" s="359">
        <v>4</v>
      </c>
      <c r="B79" s="359"/>
      <c r="C79" s="360" t="s">
        <v>307</v>
      </c>
      <c r="D79" s="361">
        <f>D35+D36+SUM(D44:D53)+SUM(D65:D74)</f>
        <v>0</v>
      </c>
      <c r="E79" s="361">
        <f>E35+E36+SUM(E44:E53)+SUM(E65:E74)</f>
        <v>3471804.0220000003</v>
      </c>
      <c r="F79" s="361">
        <f>F35+F36+SUM(F44:F53)+SUM(F65:F74)</f>
        <v>3485292.508</v>
      </c>
      <c r="G79" s="361">
        <f>G35+G36+SUM(G44:G53)+SUM(G65:G74)</f>
        <v>3564514.748</v>
      </c>
    </row>
    <row r="80" spans="1:7" ht="12.75">
      <c r="A80" s="362"/>
      <c r="B80" s="362"/>
      <c r="C80" s="363"/>
      <c r="D80" s="364"/>
      <c r="E80" s="364"/>
      <c r="F80" s="364"/>
      <c r="G80" s="364"/>
    </row>
    <row r="81" spans="1:7" ht="12.75">
      <c r="A81" s="611" t="s">
        <v>308</v>
      </c>
      <c r="B81" s="612"/>
      <c r="C81" s="612"/>
      <c r="D81" s="366"/>
      <c r="E81" s="365"/>
      <c r="F81" s="365"/>
      <c r="G81" s="366"/>
    </row>
    <row r="82" spans="1:7" s="260" customFormat="1" ht="12.75">
      <c r="A82" s="367">
        <v>50</v>
      </c>
      <c r="B82" s="368"/>
      <c r="C82" s="368" t="s">
        <v>309</v>
      </c>
      <c r="D82" s="316"/>
      <c r="E82" s="275">
        <v>144357</v>
      </c>
      <c r="F82" s="266">
        <v>130063.7399</v>
      </c>
      <c r="G82" s="276">
        <v>142374.061</v>
      </c>
    </row>
    <row r="83" spans="1:7" s="260" customFormat="1" ht="12.75">
      <c r="A83" s="367">
        <v>51</v>
      </c>
      <c r="B83" s="368"/>
      <c r="C83" s="368" t="s">
        <v>310</v>
      </c>
      <c r="D83" s="316"/>
      <c r="E83" s="275">
        <v>33500</v>
      </c>
      <c r="F83" s="266">
        <v>22291.50294</v>
      </c>
      <c r="G83" s="276">
        <v>8900</v>
      </c>
    </row>
    <row r="84" spans="1:7" s="260" customFormat="1" ht="12.75">
      <c r="A84" s="367">
        <v>52</v>
      </c>
      <c r="B84" s="368"/>
      <c r="C84" s="368" t="s">
        <v>311</v>
      </c>
      <c r="D84" s="316"/>
      <c r="E84" s="275">
        <v>12225.2</v>
      </c>
      <c r="F84" s="266">
        <v>10235.80115</v>
      </c>
      <c r="G84" s="276">
        <v>8474.77</v>
      </c>
    </row>
    <row r="85" spans="1:7" s="260" customFormat="1" ht="12.75">
      <c r="A85" s="369">
        <v>54</v>
      </c>
      <c r="B85" s="370"/>
      <c r="C85" s="370" t="s">
        <v>312</v>
      </c>
      <c r="D85" s="316"/>
      <c r="E85" s="275">
        <v>878.15905</v>
      </c>
      <c r="F85" s="266">
        <v>8531.39305</v>
      </c>
      <c r="G85" s="276">
        <v>2000</v>
      </c>
    </row>
    <row r="86" spans="1:7" s="260" customFormat="1" ht="12.75">
      <c r="A86" s="369">
        <v>55</v>
      </c>
      <c r="B86" s="370"/>
      <c r="C86" s="370" t="s">
        <v>313</v>
      </c>
      <c r="D86" s="316"/>
      <c r="E86" s="275">
        <v>0</v>
      </c>
      <c r="F86" s="266">
        <v>0</v>
      </c>
      <c r="G86" s="276">
        <v>0</v>
      </c>
    </row>
    <row r="87" spans="1:7" s="260" customFormat="1" ht="12.75">
      <c r="A87" s="369">
        <v>56</v>
      </c>
      <c r="B87" s="370"/>
      <c r="C87" s="370" t="s">
        <v>314</v>
      </c>
      <c r="D87" s="316"/>
      <c r="E87" s="275">
        <v>26545.42</v>
      </c>
      <c r="F87" s="266">
        <v>22703.81799</v>
      </c>
      <c r="G87" s="276">
        <v>19306.3</v>
      </c>
    </row>
    <row r="88" spans="1:7" s="260" customFormat="1" ht="12.75">
      <c r="A88" s="367">
        <v>57</v>
      </c>
      <c r="B88" s="368"/>
      <c r="C88" s="368" t="s">
        <v>315</v>
      </c>
      <c r="D88" s="316"/>
      <c r="E88" s="275">
        <v>12675</v>
      </c>
      <c r="F88" s="266">
        <v>14451.5815</v>
      </c>
      <c r="G88" s="276">
        <v>9375</v>
      </c>
    </row>
    <row r="89" spans="1:7" s="260" customFormat="1" ht="12.75">
      <c r="A89" s="367">
        <v>580</v>
      </c>
      <c r="B89" s="368"/>
      <c r="C89" s="368" t="s">
        <v>316</v>
      </c>
      <c r="D89" s="275"/>
      <c r="E89" s="275">
        <v>0</v>
      </c>
      <c r="F89" s="266">
        <v>0</v>
      </c>
      <c r="G89" s="276">
        <v>0</v>
      </c>
    </row>
    <row r="90" spans="1:7" s="260" customFormat="1" ht="12.75">
      <c r="A90" s="367">
        <v>582</v>
      </c>
      <c r="B90" s="368"/>
      <c r="C90" s="368" t="s">
        <v>317</v>
      </c>
      <c r="D90" s="275"/>
      <c r="E90" s="275">
        <v>0</v>
      </c>
      <c r="F90" s="266">
        <v>0</v>
      </c>
      <c r="G90" s="276">
        <v>0</v>
      </c>
    </row>
    <row r="91" spans="1:7" s="260" customFormat="1" ht="12.75">
      <c r="A91" s="367">
        <v>584</v>
      </c>
      <c r="B91" s="368"/>
      <c r="C91" s="368" t="s">
        <v>318</v>
      </c>
      <c r="D91" s="275"/>
      <c r="E91" s="275">
        <v>0</v>
      </c>
      <c r="F91" s="266">
        <v>0</v>
      </c>
      <c r="G91" s="276">
        <v>0</v>
      </c>
    </row>
    <row r="92" spans="1:7" s="260" customFormat="1" ht="12.75">
      <c r="A92" s="367">
        <v>585</v>
      </c>
      <c r="B92" s="368"/>
      <c r="C92" s="368" t="s">
        <v>319</v>
      </c>
      <c r="D92" s="275"/>
      <c r="E92" s="275">
        <v>0</v>
      </c>
      <c r="F92" s="266">
        <v>0</v>
      </c>
      <c r="G92" s="276">
        <v>0</v>
      </c>
    </row>
    <row r="93" spans="1:7" s="260" customFormat="1" ht="12.75">
      <c r="A93" s="367">
        <v>586</v>
      </c>
      <c r="B93" s="368"/>
      <c r="C93" s="368" t="s">
        <v>320</v>
      </c>
      <c r="D93" s="275"/>
      <c r="E93" s="275">
        <v>0</v>
      </c>
      <c r="F93" s="266">
        <v>0</v>
      </c>
      <c r="G93" s="276">
        <v>0</v>
      </c>
    </row>
    <row r="94" spans="1:7" s="260" customFormat="1" ht="12.75">
      <c r="A94" s="371">
        <v>589</v>
      </c>
      <c r="B94" s="372"/>
      <c r="C94" s="372" t="s">
        <v>321</v>
      </c>
      <c r="D94" s="306"/>
      <c r="E94" s="306">
        <v>0</v>
      </c>
      <c r="F94" s="373">
        <v>0</v>
      </c>
      <c r="G94" s="308">
        <v>0</v>
      </c>
    </row>
    <row r="95" spans="1:7" ht="12.75">
      <c r="A95" s="374">
        <v>5</v>
      </c>
      <c r="B95" s="375"/>
      <c r="C95" s="375" t="s">
        <v>322</v>
      </c>
      <c r="D95" s="376">
        <f>SUM(D82:D94)</f>
        <v>0</v>
      </c>
      <c r="E95" s="376">
        <f>SUM(E82:E94)</f>
        <v>230180.77905</v>
      </c>
      <c r="F95" s="376">
        <f>SUM(F82:F94)</f>
        <v>208277.83653</v>
      </c>
      <c r="G95" s="376">
        <f>SUM(G82:G94)</f>
        <v>190430.13099999996</v>
      </c>
    </row>
    <row r="96" spans="1:7" s="260" customFormat="1" ht="12.75">
      <c r="A96" s="367">
        <v>60</v>
      </c>
      <c r="B96" s="368"/>
      <c r="C96" s="368" t="s">
        <v>323</v>
      </c>
      <c r="D96" s="316"/>
      <c r="E96" s="275">
        <v>0</v>
      </c>
      <c r="F96" s="266">
        <v>106.28449</v>
      </c>
      <c r="G96" s="276">
        <v>0</v>
      </c>
    </row>
    <row r="97" spans="1:7" s="260" customFormat="1" ht="12.75">
      <c r="A97" s="367">
        <v>61</v>
      </c>
      <c r="B97" s="368"/>
      <c r="C97" s="368" t="s">
        <v>324</v>
      </c>
      <c r="D97" s="316"/>
      <c r="E97" s="275">
        <v>33500</v>
      </c>
      <c r="F97" s="266">
        <v>22291.50294</v>
      </c>
      <c r="G97" s="276">
        <v>8900</v>
      </c>
    </row>
    <row r="98" spans="1:7" s="260" customFormat="1" ht="12.75">
      <c r="A98" s="367">
        <v>62</v>
      </c>
      <c r="B98" s="368"/>
      <c r="C98" s="368" t="s">
        <v>325</v>
      </c>
      <c r="D98" s="316"/>
      <c r="E98" s="275">
        <v>0</v>
      </c>
      <c r="F98" s="266">
        <v>0</v>
      </c>
      <c r="G98" s="276">
        <v>0</v>
      </c>
    </row>
    <row r="99" spans="1:7" s="260" customFormat="1" ht="12.75">
      <c r="A99" s="367">
        <v>63</v>
      </c>
      <c r="B99" s="368"/>
      <c r="C99" s="368" t="s">
        <v>326</v>
      </c>
      <c r="D99" s="316"/>
      <c r="E99" s="275">
        <v>35584.315</v>
      </c>
      <c r="F99" s="266">
        <v>29133.23191</v>
      </c>
      <c r="G99" s="276">
        <v>30219</v>
      </c>
    </row>
    <row r="100" spans="1:7" s="260" customFormat="1" ht="12.75">
      <c r="A100" s="367">
        <v>64</v>
      </c>
      <c r="B100" s="368"/>
      <c r="C100" s="368" t="s">
        <v>327</v>
      </c>
      <c r="D100" s="316"/>
      <c r="E100" s="275">
        <v>2545.3</v>
      </c>
      <c r="F100" s="266">
        <v>2328.4565</v>
      </c>
      <c r="G100" s="276">
        <v>2445.3</v>
      </c>
    </row>
    <row r="101" spans="1:7" s="260" customFormat="1" ht="12.75">
      <c r="A101" s="367">
        <v>65</v>
      </c>
      <c r="B101" s="368"/>
      <c r="C101" s="368" t="s">
        <v>328</v>
      </c>
      <c r="D101" s="316"/>
      <c r="E101" s="275">
        <v>0</v>
      </c>
      <c r="F101" s="266">
        <v>0</v>
      </c>
      <c r="G101" s="276">
        <v>0</v>
      </c>
    </row>
    <row r="102" spans="1:7" s="260" customFormat="1" ht="12.75">
      <c r="A102" s="367">
        <v>66</v>
      </c>
      <c r="B102" s="368"/>
      <c r="C102" s="368" t="s">
        <v>329</v>
      </c>
      <c r="D102" s="316"/>
      <c r="E102" s="275">
        <v>10</v>
      </c>
      <c r="F102" s="266">
        <v>58.104</v>
      </c>
      <c r="G102" s="276">
        <v>10</v>
      </c>
    </row>
    <row r="103" spans="1:7" s="260" customFormat="1" ht="12.75">
      <c r="A103" s="367">
        <v>67</v>
      </c>
      <c r="B103" s="368"/>
      <c r="C103" s="368" t="s">
        <v>315</v>
      </c>
      <c r="D103" s="316"/>
      <c r="E103" s="264">
        <v>12675</v>
      </c>
      <c r="F103" s="286">
        <v>14451.5815</v>
      </c>
      <c r="G103" s="267">
        <v>9375</v>
      </c>
    </row>
    <row r="104" spans="1:7" s="260" customFormat="1" ht="25.5">
      <c r="A104" s="377" t="s">
        <v>330</v>
      </c>
      <c r="B104" s="368"/>
      <c r="C104" s="378" t="s">
        <v>331</v>
      </c>
      <c r="D104" s="264"/>
      <c r="E104" s="264">
        <v>0</v>
      </c>
      <c r="F104" s="286">
        <v>0</v>
      </c>
      <c r="G104" s="267">
        <v>0</v>
      </c>
    </row>
    <row r="105" spans="1:7" s="260" customFormat="1" ht="38.25">
      <c r="A105" s="381" t="s">
        <v>332</v>
      </c>
      <c r="B105" s="372"/>
      <c r="C105" s="382" t="s">
        <v>333</v>
      </c>
      <c r="D105" s="383"/>
      <c r="E105" s="383">
        <v>0</v>
      </c>
      <c r="F105" s="384">
        <v>0</v>
      </c>
      <c r="G105" s="385">
        <v>0</v>
      </c>
    </row>
    <row r="106" spans="1:7" ht="12.75">
      <c r="A106" s="374">
        <v>6</v>
      </c>
      <c r="B106" s="375"/>
      <c r="C106" s="375" t="s">
        <v>334</v>
      </c>
      <c r="D106" s="376">
        <f>SUM(D96:D105)</f>
        <v>0</v>
      </c>
      <c r="E106" s="376">
        <f>SUM(E96:E105)</f>
        <v>84314.615</v>
      </c>
      <c r="F106" s="376">
        <f>SUM(F96:F105)</f>
        <v>68369.16133999999</v>
      </c>
      <c r="G106" s="376">
        <f>SUM(G96:G105)</f>
        <v>50949.3</v>
      </c>
    </row>
    <row r="107" spans="1:7" ht="12.75">
      <c r="A107" s="386" t="s">
        <v>335</v>
      </c>
      <c r="B107" s="386"/>
      <c r="C107" s="375" t="s">
        <v>3</v>
      </c>
      <c r="D107" s="376">
        <f>(D95-D88)-(D106-D103)</f>
        <v>0</v>
      </c>
      <c r="E107" s="376">
        <f>(E95-E88)-(E106-E103)</f>
        <v>145866.16405000002</v>
      </c>
      <c r="F107" s="376">
        <f>(F95-F88)-(F106-F103)</f>
        <v>139908.67519</v>
      </c>
      <c r="G107" s="376">
        <f>(G95-G88)-(G106-G103)</f>
        <v>139480.83099999995</v>
      </c>
    </row>
    <row r="108" spans="1:7" ht="12.75">
      <c r="A108" s="387" t="s">
        <v>336</v>
      </c>
      <c r="B108" s="387"/>
      <c r="C108" s="388" t="s">
        <v>337</v>
      </c>
      <c r="D108" s="389">
        <f>D107-D85-D86+D100+D101</f>
        <v>0</v>
      </c>
      <c r="E108" s="389">
        <f>E107-E85-E86+E100+E101</f>
        <v>147533.30500000002</v>
      </c>
      <c r="F108" s="389">
        <f>F107-F85-F86+F100+F101</f>
        <v>133705.73864</v>
      </c>
      <c r="G108" s="389">
        <f>G107-G85-G86+G100+G101</f>
        <v>139926.13099999994</v>
      </c>
    </row>
    <row r="109" spans="1:7" ht="12.75">
      <c r="A109" s="362"/>
      <c r="B109" s="362"/>
      <c r="C109" s="363"/>
      <c r="D109" s="364"/>
      <c r="E109" s="364"/>
      <c r="F109" s="364"/>
      <c r="G109" s="364"/>
    </row>
    <row r="110" spans="1:7" s="250" customFormat="1" ht="12.75">
      <c r="A110" s="390" t="s">
        <v>338</v>
      </c>
      <c r="B110" s="391"/>
      <c r="C110" s="390"/>
      <c r="D110" s="364"/>
      <c r="E110" s="364"/>
      <c r="F110" s="364"/>
      <c r="G110" s="364"/>
    </row>
    <row r="111" spans="1:7" s="396" customFormat="1" ht="12.75">
      <c r="A111" s="392">
        <v>10</v>
      </c>
      <c r="B111" s="393"/>
      <c r="C111" s="393" t="s">
        <v>339</v>
      </c>
      <c r="D111" s="394">
        <f>D112+D117</f>
        <v>0</v>
      </c>
      <c r="E111" s="493">
        <f>E112+E117</f>
        <v>0</v>
      </c>
      <c r="F111" s="394">
        <f>F112+F117</f>
        <v>1465421.16874</v>
      </c>
      <c r="G111" s="395">
        <f>G112+G117</f>
        <v>0</v>
      </c>
    </row>
    <row r="112" spans="1:7" s="396" customFormat="1" ht="12.75">
      <c r="A112" s="397" t="s">
        <v>340</v>
      </c>
      <c r="B112" s="398"/>
      <c r="C112" s="398" t="s">
        <v>341</v>
      </c>
      <c r="D112" s="394">
        <f>D113+D114+D115+D116</f>
        <v>0</v>
      </c>
      <c r="E112" s="493">
        <f>E113+E114+E115+E116</f>
        <v>0</v>
      </c>
      <c r="F112" s="394">
        <f>F113+F114+F115+F116</f>
        <v>828835.98871</v>
      </c>
      <c r="G112" s="395">
        <f>G113+G114+G115+G116</f>
        <v>0</v>
      </c>
    </row>
    <row r="113" spans="1:7" s="396" customFormat="1" ht="12.75">
      <c r="A113" s="410" t="s">
        <v>342</v>
      </c>
      <c r="B113" s="411"/>
      <c r="C113" s="411" t="s">
        <v>343</v>
      </c>
      <c r="D113" s="275"/>
      <c r="E113" s="316"/>
      <c r="F113" s="275">
        <v>551224.98373</v>
      </c>
      <c r="G113" s="277"/>
    </row>
    <row r="114" spans="1:7" s="406" customFormat="1" ht="15" customHeight="1">
      <c r="A114" s="414">
        <v>102</v>
      </c>
      <c r="B114" s="494"/>
      <c r="C114" s="494" t="s">
        <v>344</v>
      </c>
      <c r="D114" s="344"/>
      <c r="E114" s="344"/>
      <c r="F114" s="344">
        <v>6030.63</v>
      </c>
      <c r="G114" s="495"/>
    </row>
    <row r="115" spans="1:7" s="396" customFormat="1" ht="12.75">
      <c r="A115" s="410">
        <v>104</v>
      </c>
      <c r="B115" s="411"/>
      <c r="C115" s="411" t="s">
        <v>345</v>
      </c>
      <c r="D115" s="275"/>
      <c r="E115" s="316"/>
      <c r="F115" s="275">
        <v>268544.12581</v>
      </c>
      <c r="G115" s="277"/>
    </row>
    <row r="116" spans="1:7" s="396" customFormat="1" ht="12.75">
      <c r="A116" s="410">
        <v>106</v>
      </c>
      <c r="B116" s="411"/>
      <c r="C116" s="411" t="s">
        <v>346</v>
      </c>
      <c r="D116" s="275"/>
      <c r="E116" s="316"/>
      <c r="F116" s="275">
        <v>3036.24917</v>
      </c>
      <c r="G116" s="277"/>
    </row>
    <row r="117" spans="1:7" s="396" customFormat="1" ht="12.75">
      <c r="A117" s="397" t="s">
        <v>347</v>
      </c>
      <c r="B117" s="398"/>
      <c r="C117" s="398" t="s">
        <v>348</v>
      </c>
      <c r="D117" s="394">
        <f>D118+D119+D120</f>
        <v>0</v>
      </c>
      <c r="E117" s="493">
        <f>E118+E119+E120</f>
        <v>0</v>
      </c>
      <c r="F117" s="394">
        <f>F118+F119+F120</f>
        <v>636585.18003</v>
      </c>
      <c r="G117" s="395">
        <f>G118+G119+G120</f>
        <v>0</v>
      </c>
    </row>
    <row r="118" spans="1:7" s="396" customFormat="1" ht="12.75">
      <c r="A118" s="410">
        <v>107</v>
      </c>
      <c r="B118" s="411"/>
      <c r="C118" s="411" t="s">
        <v>349</v>
      </c>
      <c r="D118" s="275"/>
      <c r="E118" s="316"/>
      <c r="F118" s="275">
        <v>510385.1265</v>
      </c>
      <c r="G118" s="277"/>
    </row>
    <row r="119" spans="1:7" s="396" customFormat="1" ht="12.75">
      <c r="A119" s="410">
        <v>108</v>
      </c>
      <c r="B119" s="411"/>
      <c r="C119" s="411" t="s">
        <v>350</v>
      </c>
      <c r="D119" s="275"/>
      <c r="E119" s="316"/>
      <c r="F119" s="275">
        <v>126200.05353</v>
      </c>
      <c r="G119" s="277"/>
    </row>
    <row r="120" spans="1:7" s="409" customFormat="1" ht="25.5">
      <c r="A120" s="414">
        <v>109</v>
      </c>
      <c r="B120" s="415"/>
      <c r="C120" s="415" t="s">
        <v>351</v>
      </c>
      <c r="D120" s="281"/>
      <c r="E120" s="281"/>
      <c r="F120" s="281">
        <v>0</v>
      </c>
      <c r="G120" s="496"/>
    </row>
    <row r="121" spans="1:7" s="396" customFormat="1" ht="12.75">
      <c r="A121" s="397">
        <v>14</v>
      </c>
      <c r="B121" s="398"/>
      <c r="C121" s="398" t="s">
        <v>352</v>
      </c>
      <c r="D121" s="394">
        <f>SUM(D122:D130)</f>
        <v>0</v>
      </c>
      <c r="E121" s="394">
        <f>SUM(E122:E130)</f>
        <v>0</v>
      </c>
      <c r="F121" s="394">
        <f>SUM(F122:F130)</f>
        <v>4708089.526459999</v>
      </c>
      <c r="G121" s="394">
        <f>SUM(G122:G130)</f>
        <v>0</v>
      </c>
    </row>
    <row r="122" spans="1:7" s="396" customFormat="1" ht="12.75">
      <c r="A122" s="410" t="s">
        <v>353</v>
      </c>
      <c r="B122" s="411"/>
      <c r="C122" s="411" t="s">
        <v>354</v>
      </c>
      <c r="D122" s="275"/>
      <c r="E122" s="316"/>
      <c r="F122" s="275">
        <v>3251245.6395</v>
      </c>
      <c r="G122" s="277"/>
    </row>
    <row r="123" spans="1:7" s="396" customFormat="1" ht="12.75">
      <c r="A123" s="410">
        <v>144</v>
      </c>
      <c r="B123" s="411"/>
      <c r="C123" s="411" t="s">
        <v>312</v>
      </c>
      <c r="D123" s="275"/>
      <c r="E123" s="316"/>
      <c r="F123" s="275">
        <v>341364.73267</v>
      </c>
      <c r="G123" s="277"/>
    </row>
    <row r="124" spans="1:7" s="396" customFormat="1" ht="12.75">
      <c r="A124" s="410">
        <v>145</v>
      </c>
      <c r="B124" s="411"/>
      <c r="C124" s="411" t="s">
        <v>355</v>
      </c>
      <c r="D124" s="275"/>
      <c r="E124" s="316"/>
      <c r="F124" s="275">
        <v>672979.19536</v>
      </c>
      <c r="G124" s="413"/>
    </row>
    <row r="125" spans="1:7" s="396" customFormat="1" ht="12.75">
      <c r="A125" s="410">
        <v>146</v>
      </c>
      <c r="B125" s="411"/>
      <c r="C125" s="411" t="s">
        <v>356</v>
      </c>
      <c r="D125" s="275"/>
      <c r="E125" s="316"/>
      <c r="F125" s="275">
        <v>442499.95893</v>
      </c>
      <c r="G125" s="413"/>
    </row>
    <row r="126" spans="1:7" s="409" customFormat="1" ht="29.25" customHeight="1">
      <c r="A126" s="414" t="s">
        <v>357</v>
      </c>
      <c r="B126" s="415"/>
      <c r="C126" s="415" t="s">
        <v>358</v>
      </c>
      <c r="D126" s="281"/>
      <c r="E126" s="281"/>
      <c r="F126" s="281"/>
      <c r="G126" s="417"/>
    </row>
    <row r="127" spans="1:7" s="396" customFormat="1" ht="12.75">
      <c r="A127" s="410">
        <v>1484</v>
      </c>
      <c r="B127" s="411"/>
      <c r="C127" s="411" t="s">
        <v>359</v>
      </c>
      <c r="D127" s="275"/>
      <c r="E127" s="316"/>
      <c r="F127" s="275"/>
      <c r="G127" s="413"/>
    </row>
    <row r="128" spans="1:7" s="396" customFormat="1" ht="12.75">
      <c r="A128" s="410">
        <v>1485</v>
      </c>
      <c r="B128" s="411"/>
      <c r="C128" s="411" t="s">
        <v>360</v>
      </c>
      <c r="D128" s="275"/>
      <c r="E128" s="316"/>
      <c r="F128" s="275"/>
      <c r="G128" s="413"/>
    </row>
    <row r="129" spans="1:7" s="396" customFormat="1" ht="12.75">
      <c r="A129" s="410">
        <v>1486</v>
      </c>
      <c r="B129" s="411"/>
      <c r="C129" s="411" t="s">
        <v>361</v>
      </c>
      <c r="D129" s="275"/>
      <c r="E129" s="316"/>
      <c r="F129" s="275"/>
      <c r="G129" s="413"/>
    </row>
    <row r="130" spans="1:7" s="396" customFormat="1" ht="12.75">
      <c r="A130" s="418">
        <v>1489</v>
      </c>
      <c r="B130" s="419"/>
      <c r="C130" s="419" t="s">
        <v>362</v>
      </c>
      <c r="D130" s="306"/>
      <c r="E130" s="497"/>
      <c r="F130" s="306"/>
      <c r="G130" s="421"/>
    </row>
    <row r="131" spans="1:7" s="250" customFormat="1" ht="12.75">
      <c r="A131" s="422">
        <v>1</v>
      </c>
      <c r="B131" s="423"/>
      <c r="C131" s="422" t="s">
        <v>363</v>
      </c>
      <c r="D131" s="424">
        <f>D111+D121</f>
        <v>0</v>
      </c>
      <c r="E131" s="424">
        <f>E111+E121</f>
        <v>0</v>
      </c>
      <c r="F131" s="424">
        <f>F111+F121</f>
        <v>6173510.6952</v>
      </c>
      <c r="G131" s="424">
        <f>G111+G121</f>
        <v>0</v>
      </c>
    </row>
    <row r="132" spans="1:7" s="250" customFormat="1" ht="12.75">
      <c r="A132" s="362"/>
      <c r="B132" s="362"/>
      <c r="C132" s="363"/>
      <c r="D132" s="364"/>
      <c r="E132" s="364"/>
      <c r="F132" s="364"/>
      <c r="G132" s="364"/>
    </row>
    <row r="133" spans="1:7" s="396" customFormat="1" ht="12.75">
      <c r="A133" s="392">
        <v>20</v>
      </c>
      <c r="B133" s="393"/>
      <c r="C133" s="393" t="s">
        <v>364</v>
      </c>
      <c r="D133" s="425">
        <f>D134+D140</f>
        <v>0</v>
      </c>
      <c r="E133" s="425">
        <f>E134+E140</f>
        <v>0</v>
      </c>
      <c r="F133" s="425">
        <f>F134+F140</f>
        <v>2343222.32984</v>
      </c>
      <c r="G133" s="426">
        <f>G134+G140</f>
        <v>0</v>
      </c>
    </row>
    <row r="134" spans="1:7" s="396" customFormat="1" ht="12.75">
      <c r="A134" s="427" t="s">
        <v>365</v>
      </c>
      <c r="B134" s="398"/>
      <c r="C134" s="398" t="s">
        <v>366</v>
      </c>
      <c r="D134" s="394">
        <f>D135+D136+D138+D139</f>
        <v>0</v>
      </c>
      <c r="E134" s="394">
        <f>E135+E136+E138+E139</f>
        <v>0</v>
      </c>
      <c r="F134" s="394">
        <f>F135+F136+F138+F139</f>
        <v>770279.92259</v>
      </c>
      <c r="G134" s="395">
        <f>G135+G136+G138+G139</f>
        <v>0</v>
      </c>
    </row>
    <row r="135" spans="1:7" s="429" customFormat="1" ht="12.75">
      <c r="A135" s="428">
        <v>200</v>
      </c>
      <c r="B135" s="411"/>
      <c r="C135" s="411" t="s">
        <v>367</v>
      </c>
      <c r="D135" s="275"/>
      <c r="E135" s="275"/>
      <c r="F135" s="275">
        <v>188294.83193</v>
      </c>
      <c r="G135" s="277"/>
    </row>
    <row r="136" spans="1:7" s="429" customFormat="1" ht="12.75">
      <c r="A136" s="428">
        <v>201</v>
      </c>
      <c r="B136" s="411"/>
      <c r="C136" s="411" t="s">
        <v>368</v>
      </c>
      <c r="D136" s="275"/>
      <c r="E136" s="275"/>
      <c r="F136" s="275">
        <v>222833.161</v>
      </c>
      <c r="G136" s="277"/>
    </row>
    <row r="137" spans="1:7" s="429" customFormat="1" ht="12.75">
      <c r="A137" s="430" t="s">
        <v>369</v>
      </c>
      <c r="B137" s="400"/>
      <c r="C137" s="400" t="s">
        <v>370</v>
      </c>
      <c r="D137" s="271"/>
      <c r="E137" s="271"/>
      <c r="F137" s="271">
        <v>9546.49</v>
      </c>
      <c r="G137" s="432"/>
    </row>
    <row r="138" spans="1:7" s="429" customFormat="1" ht="12.75">
      <c r="A138" s="428">
        <v>204</v>
      </c>
      <c r="B138" s="411"/>
      <c r="C138" s="411" t="s">
        <v>371</v>
      </c>
      <c r="D138" s="275"/>
      <c r="E138" s="275"/>
      <c r="F138" s="275">
        <v>323198.21118</v>
      </c>
      <c r="G138" s="413"/>
    </row>
    <row r="139" spans="1:7" s="429" customFormat="1" ht="12.75">
      <c r="A139" s="428">
        <v>205</v>
      </c>
      <c r="B139" s="411"/>
      <c r="C139" s="411" t="s">
        <v>372</v>
      </c>
      <c r="D139" s="275"/>
      <c r="E139" s="275"/>
      <c r="F139" s="275">
        <v>35953.71848</v>
      </c>
      <c r="G139" s="413"/>
    </row>
    <row r="140" spans="1:7" s="429" customFormat="1" ht="12.75">
      <c r="A140" s="427" t="s">
        <v>373</v>
      </c>
      <c r="B140" s="398"/>
      <c r="C140" s="398" t="s">
        <v>374</v>
      </c>
      <c r="D140" s="394">
        <f>D141+D143+D144</f>
        <v>0</v>
      </c>
      <c r="E140" s="394">
        <f>E141+E143+E144</f>
        <v>0</v>
      </c>
      <c r="F140" s="394">
        <f>F141+F143+F144</f>
        <v>1572942.40725</v>
      </c>
      <c r="G140" s="395">
        <f>G141+G143+G144</f>
        <v>0</v>
      </c>
    </row>
    <row r="141" spans="1:7" s="429" customFormat="1" ht="12.75">
      <c r="A141" s="428">
        <v>206</v>
      </c>
      <c r="B141" s="411"/>
      <c r="C141" s="411" t="s">
        <v>375</v>
      </c>
      <c r="D141" s="275"/>
      <c r="E141" s="275"/>
      <c r="F141" s="275">
        <v>1476526.71782</v>
      </c>
      <c r="G141" s="413"/>
    </row>
    <row r="142" spans="1:7" s="429" customFormat="1" ht="12.75">
      <c r="A142" s="430" t="s">
        <v>376</v>
      </c>
      <c r="B142" s="400"/>
      <c r="C142" s="400" t="s">
        <v>377</v>
      </c>
      <c r="D142" s="271"/>
      <c r="E142" s="271"/>
      <c r="F142" s="271">
        <v>487180.28145</v>
      </c>
      <c r="G142" s="432"/>
    </row>
    <row r="143" spans="1:7" s="429" customFormat="1" ht="12.75">
      <c r="A143" s="428">
        <v>208</v>
      </c>
      <c r="B143" s="411"/>
      <c r="C143" s="411" t="s">
        <v>378</v>
      </c>
      <c r="D143" s="275"/>
      <c r="E143" s="275"/>
      <c r="F143" s="275">
        <v>59905.6357</v>
      </c>
      <c r="G143" s="413"/>
    </row>
    <row r="144" spans="1:7" s="433" customFormat="1" ht="39.75" customHeight="1">
      <c r="A144" s="414">
        <v>209</v>
      </c>
      <c r="B144" s="415"/>
      <c r="C144" s="415" t="s">
        <v>379</v>
      </c>
      <c r="D144" s="281"/>
      <c r="E144" s="281"/>
      <c r="F144" s="281">
        <v>36510.05373</v>
      </c>
      <c r="G144" s="417"/>
    </row>
    <row r="145" spans="1:7" s="396" customFormat="1" ht="12.75">
      <c r="A145" s="427">
        <v>29</v>
      </c>
      <c r="B145" s="398"/>
      <c r="C145" s="398" t="s">
        <v>380</v>
      </c>
      <c r="D145" s="412"/>
      <c r="E145" s="431"/>
      <c r="F145" s="412">
        <v>3830288.36536</v>
      </c>
      <c r="G145" s="413"/>
    </row>
    <row r="146" spans="1:7" s="396" customFormat="1" ht="12.75">
      <c r="A146" s="434" t="s">
        <v>381</v>
      </c>
      <c r="B146" s="435"/>
      <c r="C146" s="435" t="s">
        <v>382</v>
      </c>
      <c r="D146" s="306"/>
      <c r="E146" s="332"/>
      <c r="F146" s="332">
        <v>745421.93066</v>
      </c>
      <c r="G146" s="436"/>
    </row>
    <row r="147" spans="1:7" s="250" customFormat="1" ht="12.75">
      <c r="A147" s="422">
        <v>2</v>
      </c>
      <c r="B147" s="423"/>
      <c r="C147" s="422" t="s">
        <v>383</v>
      </c>
      <c r="D147" s="424">
        <f>D133+D145</f>
        <v>0</v>
      </c>
      <c r="E147" s="424">
        <f>E133+E145</f>
        <v>0</v>
      </c>
      <c r="F147" s="424">
        <f>F133+F145</f>
        <v>6173510.6952</v>
      </c>
      <c r="G147" s="424">
        <f>G133+G145</f>
        <v>0</v>
      </c>
    </row>
    <row r="148" spans="4:6" ht="7.5" customHeight="1">
      <c r="D148" s="250"/>
      <c r="F148" s="250"/>
    </row>
    <row r="149" spans="1:7" ht="13.5" customHeight="1">
      <c r="A149" s="437" t="s">
        <v>384</v>
      </c>
      <c r="B149" s="438"/>
      <c r="C149" s="439" t="s">
        <v>385</v>
      </c>
      <c r="D149" s="438"/>
      <c r="E149" s="438"/>
      <c r="F149" s="438"/>
      <c r="G149" s="438"/>
    </row>
    <row r="150" spans="1:7" ht="12.75">
      <c r="A150" s="509" t="s">
        <v>386</v>
      </c>
      <c r="B150" s="509"/>
      <c r="C150" s="509" t="s">
        <v>97</v>
      </c>
      <c r="D150" s="442">
        <f>D77+SUM(D8:D12)-D30-D31+D16-D33+D59+D63-D73+D64-D74-D54+D20-D35</f>
        <v>0</v>
      </c>
      <c r="E150" s="442">
        <f>E77+SUM(E8:E12)-E30-E31+E16-E33+E59+E63-E73+E64-E74-E54+E20-E35</f>
        <v>118706.20488999994</v>
      </c>
      <c r="F150" s="442">
        <f>F77+SUM(F8:F12)-F30-F31+F16-F33+F59+F63-F73+F64-F74-F54+F20-F35</f>
        <v>80118.18330000027</v>
      </c>
      <c r="G150" s="442">
        <f>G77+SUM(G8:G12)-G30-G31+G16-G33+G59+G63-G73+G64-G74-G54+G20-G35</f>
        <v>127396.47499999969</v>
      </c>
    </row>
    <row r="151" spans="1:7" ht="12.75">
      <c r="A151" s="510" t="s">
        <v>387</v>
      </c>
      <c r="B151" s="510"/>
      <c r="C151" s="510" t="s">
        <v>388</v>
      </c>
      <c r="D151" s="445">
        <f>IF(D177=0,0,D150/D177)</f>
        <v>0</v>
      </c>
      <c r="E151" s="445">
        <f>IF(E177=0,0,E150/E177)</f>
        <v>0.045093048090173914</v>
      </c>
      <c r="F151" s="445">
        <f>IF(F177=0,0,F150/F177)</f>
        <v>0.03055287622009083</v>
      </c>
      <c r="G151" s="445">
        <f>IF(G177=0,0,G150/G177)</f>
        <v>0.047152045642026845</v>
      </c>
    </row>
    <row r="152" spans="1:7" s="449" customFormat="1" ht="25.5">
      <c r="A152" s="511" t="s">
        <v>389</v>
      </c>
      <c r="B152" s="511"/>
      <c r="C152" s="511" t="s">
        <v>390</v>
      </c>
      <c r="D152" s="448">
        <f>IF(D107=0,0,D150/D107)</f>
        <v>0</v>
      </c>
      <c r="E152" s="448">
        <f>IF(IF(E107=0,0,E$150/E107)&lt;0,"negativ",(IF(E107=0,0,E$150/E107)))</f>
        <v>0.813802197809972</v>
      </c>
      <c r="F152" s="448">
        <f>IF(IF(F107=0,0,F$150/F107)&lt;0,"negativ",(IF(F107=0,0,F$150/F107)))</f>
        <v>0.5726462865236731</v>
      </c>
      <c r="G152" s="448">
        <f>IF(IF(G107=0,0,G$150/G107)&lt;0,"negativ",(IF(G107=0,0,G$150/G107)))</f>
        <v>0.9133618869821598</v>
      </c>
    </row>
    <row r="153" spans="1:7" s="449" customFormat="1" ht="25.5">
      <c r="A153" s="512" t="s">
        <v>389</v>
      </c>
      <c r="B153" s="512"/>
      <c r="C153" s="512" t="s">
        <v>391</v>
      </c>
      <c r="D153" s="452">
        <f>IF(0=D108,0,D150/D108)</f>
        <v>0</v>
      </c>
      <c r="E153" s="452">
        <f>IF(IF(E108=0,0,E$150/E108)&lt;0,"negativ",(IF(E108=0,0,E$150/E108)))</f>
        <v>0.8046061524209731</v>
      </c>
      <c r="F153" s="452">
        <f>IF(0=F108,0,F150/F108)</f>
        <v>0.5992127496914463</v>
      </c>
      <c r="G153" s="452">
        <f>IF(IF(G108=0,0,G$150/G108)&lt;0,"negativ",(IF(G108=0,0,G$150/G108)))</f>
        <v>0.9104552101136831</v>
      </c>
    </row>
    <row r="154" spans="1:7" ht="25.5">
      <c r="A154" s="513" t="s">
        <v>392</v>
      </c>
      <c r="B154" s="513"/>
      <c r="C154" s="513" t="s">
        <v>393</v>
      </c>
      <c r="D154" s="455">
        <f>D150-D107</f>
        <v>0</v>
      </c>
      <c r="E154" s="455">
        <f>E150-E107</f>
        <v>-27159.959160000086</v>
      </c>
      <c r="F154" s="455">
        <f>F150-F107</f>
        <v>-59790.49188999974</v>
      </c>
      <c r="G154" s="455">
        <f>G150-G107</f>
        <v>-12084.356000000262</v>
      </c>
    </row>
    <row r="155" spans="1:7" ht="25.5">
      <c r="A155" s="512" t="s">
        <v>394</v>
      </c>
      <c r="B155" s="512"/>
      <c r="C155" s="512" t="s">
        <v>395</v>
      </c>
      <c r="D155" s="456">
        <f>D150-D108</f>
        <v>0</v>
      </c>
      <c r="E155" s="456">
        <f>E150-E108</f>
        <v>-28827.100110000087</v>
      </c>
      <c r="F155" s="456">
        <f>F150-F108</f>
        <v>-53587.55533999973</v>
      </c>
      <c r="G155" s="456">
        <f>G150-G108</f>
        <v>-12529.65600000025</v>
      </c>
    </row>
    <row r="156" spans="1:7" ht="12.75">
      <c r="A156" s="509" t="s">
        <v>396</v>
      </c>
      <c r="B156" s="509"/>
      <c r="C156" s="509" t="s">
        <v>397</v>
      </c>
      <c r="D156" s="457">
        <f>D135+D136-D137+D141-D142</f>
        <v>0</v>
      </c>
      <c r="E156" s="457">
        <f>E135+E136-E137+E141-E142</f>
        <v>0</v>
      </c>
      <c r="F156" s="457">
        <f>F135+F136-F137+F141-F142</f>
        <v>1390927.9392999997</v>
      </c>
      <c r="G156" s="457">
        <f>G135+G136-G137+G141-G142</f>
        <v>0</v>
      </c>
    </row>
    <row r="157" spans="1:7" ht="12.75">
      <c r="A157" s="514" t="s">
        <v>398</v>
      </c>
      <c r="B157" s="514"/>
      <c r="C157" s="514" t="s">
        <v>399</v>
      </c>
      <c r="D157" s="460">
        <f>IF(D177=0,0,D156/D177)</f>
        <v>0</v>
      </c>
      <c r="E157" s="460">
        <f>IF(E177=0,0,E156/E177)</f>
        <v>0</v>
      </c>
      <c r="F157" s="460">
        <f>IF(F177=0,0,F156/F177)</f>
        <v>0.5304270193118416</v>
      </c>
      <c r="G157" s="460">
        <f>IF(G177=0,0,G156/G177)</f>
        <v>0</v>
      </c>
    </row>
    <row r="158" spans="1:7" ht="12.75">
      <c r="A158" s="509" t="s">
        <v>400</v>
      </c>
      <c r="B158" s="509"/>
      <c r="C158" s="509" t="s">
        <v>401</v>
      </c>
      <c r="D158" s="457">
        <f>D133-D142-D111</f>
        <v>0</v>
      </c>
      <c r="E158" s="457">
        <f>E133-E142-E111</f>
        <v>0</v>
      </c>
      <c r="F158" s="457">
        <f>F133-F142-F111</f>
        <v>390620.87964999955</v>
      </c>
      <c r="G158" s="457">
        <f>G133-G142-G111</f>
        <v>0</v>
      </c>
    </row>
    <row r="159" spans="1:7" ht="12.75">
      <c r="A159" s="510" t="s">
        <v>402</v>
      </c>
      <c r="B159" s="510"/>
      <c r="C159" s="510" t="s">
        <v>403</v>
      </c>
      <c r="D159" s="461">
        <f>D121-D123-D124-D142-D145</f>
        <v>0</v>
      </c>
      <c r="E159" s="461">
        <f>E121-E123-E124-E142-E145</f>
        <v>0</v>
      </c>
      <c r="F159" s="461">
        <f>F121-F123-F124-F142-F145</f>
        <v>-623723.048380001</v>
      </c>
      <c r="G159" s="461">
        <f>G121-G123-G124-G142-G145</f>
        <v>0</v>
      </c>
    </row>
    <row r="160" spans="1:7" ht="12.75">
      <c r="A160" s="510" t="s">
        <v>404</v>
      </c>
      <c r="B160" s="510"/>
      <c r="C160" s="510" t="s">
        <v>405</v>
      </c>
      <c r="D160" s="462" t="str">
        <f>IF(D175=0,"-",1000*D158/D175)</f>
        <v>-</v>
      </c>
      <c r="E160" s="462">
        <f>IF(E175=0,"-",1000*E158/E175)</f>
        <v>0</v>
      </c>
      <c r="F160" s="462">
        <f>IF(F175=0,"-",1000*F158/F175)</f>
        <v>1014.5996874025963</v>
      </c>
      <c r="G160" s="462">
        <f>IF(G175=0,"-",1000*G158/G175)</f>
        <v>0</v>
      </c>
    </row>
    <row r="161" spans="1:7" ht="12.75">
      <c r="A161" s="510" t="s">
        <v>404</v>
      </c>
      <c r="B161" s="510"/>
      <c r="C161" s="510" t="s">
        <v>406</v>
      </c>
      <c r="D161" s="461">
        <f>IF(D175=0,0,1000*(D159/D175))</f>
        <v>0</v>
      </c>
      <c r="E161" s="461">
        <f>IF(E175=0,0,1000*(E159/E175))</f>
        <v>0</v>
      </c>
      <c r="F161" s="461">
        <f>IF(F175=0,0,1000*(F159/F175))</f>
        <v>-1620.0598659220805</v>
      </c>
      <c r="G161" s="461">
        <f>IF(G175=0,0,1000*(G159/G175))</f>
        <v>0</v>
      </c>
    </row>
    <row r="162" spans="1:7" ht="12.75">
      <c r="A162" s="514" t="s">
        <v>407</v>
      </c>
      <c r="B162" s="514"/>
      <c r="C162" s="514" t="s">
        <v>408</v>
      </c>
      <c r="D162" s="460">
        <f>IF((D22+D23+D65+D66)=0,0,D158/(D22+D23+D65+D66))</f>
        <v>0</v>
      </c>
      <c r="E162" s="460">
        <f>IF((E22+E23+E65+E66)=0,0,E158/(E22+E23+E65+E66))</f>
        <v>0</v>
      </c>
      <c r="F162" s="460">
        <f>IF((F22+F23+F65+F66)=0,0,F158/(F22+F23+F65+F66))</f>
        <v>0.3724740003611351</v>
      </c>
      <c r="G162" s="460">
        <f>IF((G22+G23+G65+G66)=0,0,G158/(G22+G23+G65+G66))</f>
        <v>0</v>
      </c>
    </row>
    <row r="163" spans="1:7" ht="12.75">
      <c r="A163" s="510" t="s">
        <v>409</v>
      </c>
      <c r="B163" s="510"/>
      <c r="C163" s="510" t="s">
        <v>380</v>
      </c>
      <c r="D163" s="442">
        <f>D145</f>
        <v>0</v>
      </c>
      <c r="E163" s="442">
        <f>E145</f>
        <v>0</v>
      </c>
      <c r="F163" s="442">
        <f>F145</f>
        <v>3830288.36536</v>
      </c>
      <c r="G163" s="442">
        <f>G145</f>
        <v>0</v>
      </c>
    </row>
    <row r="164" spans="1:7" ht="25.5">
      <c r="A164" s="512" t="s">
        <v>411</v>
      </c>
      <c r="B164" s="514"/>
      <c r="C164" s="514" t="s">
        <v>412</v>
      </c>
      <c r="D164" s="452">
        <f>IF(D178=0,0,D146/D178)</f>
        <v>0</v>
      </c>
      <c r="E164" s="452">
        <f>IF(E178=0,0,E146/E178)</f>
        <v>0</v>
      </c>
      <c r="F164" s="452">
        <f>IF(F178=0,0,F146/F178)</f>
        <v>0.2781767127792875</v>
      </c>
      <c r="G164" s="452">
        <f>IF(G178=0,0,G146/G178)</f>
        <v>0</v>
      </c>
    </row>
    <row r="165" spans="1:7" ht="12.75">
      <c r="A165" s="515" t="s">
        <v>681</v>
      </c>
      <c r="B165" s="515"/>
      <c r="C165" s="515" t="s">
        <v>414</v>
      </c>
      <c r="D165" s="465">
        <f>IF(D177=0,0,D180/D177)</f>
        <v>0</v>
      </c>
      <c r="E165" s="465">
        <f>IF(E177=0,0,E180/E177)</f>
        <v>0.05885579219335923</v>
      </c>
      <c r="F165" s="465">
        <f>IF(F177=0,0,F180/F177)</f>
        <v>0.06169408841096049</v>
      </c>
      <c r="G165" s="465">
        <f>IF(G177=0,0,G180/G177)</f>
        <v>0.06081474777245055</v>
      </c>
    </row>
    <row r="166" spans="1:7" ht="12.75">
      <c r="A166" s="510" t="s">
        <v>415</v>
      </c>
      <c r="B166" s="510"/>
      <c r="C166" s="510" t="s">
        <v>282</v>
      </c>
      <c r="D166" s="442">
        <f>D55</f>
        <v>0</v>
      </c>
      <c r="E166" s="442">
        <f>E55</f>
        <v>82716.668</v>
      </c>
      <c r="F166" s="442">
        <f>F55</f>
        <v>88236.55799999999</v>
      </c>
      <c r="G166" s="442">
        <f>G55</f>
        <v>82267.727</v>
      </c>
    </row>
    <row r="167" spans="1:7" ht="12.75">
      <c r="A167" s="514" t="s">
        <v>416</v>
      </c>
      <c r="B167" s="514"/>
      <c r="C167" s="514" t="s">
        <v>417</v>
      </c>
      <c r="D167" s="460">
        <f>IF(0=D111,0,(D44+D45+D46+D47+D48)/D111)</f>
        <v>0</v>
      </c>
      <c r="E167" s="460">
        <f>IF(0=E111,0,(E44+E45+E46+E47+E48)/E111)</f>
        <v>0</v>
      </c>
      <c r="F167" s="460">
        <f>IF(0=F111,0,(F44+F45+F46+F47+F48)/F111)</f>
        <v>0.021810623240471807</v>
      </c>
      <c r="G167" s="460">
        <f>IF(0=G111,0,(G44+G45+G46+G47+G48)/G111)</f>
        <v>0</v>
      </c>
    </row>
    <row r="168" spans="1:7" ht="12.75">
      <c r="A168" s="510" t="s">
        <v>418</v>
      </c>
      <c r="B168" s="509"/>
      <c r="C168" s="509" t="s">
        <v>419</v>
      </c>
      <c r="D168" s="442">
        <f>D38-D44</f>
        <v>0</v>
      </c>
      <c r="E168" s="442">
        <f>E38-E44</f>
        <v>27033.8</v>
      </c>
      <c r="F168" s="442">
        <f>F38-F44</f>
        <v>26736.211000000003</v>
      </c>
      <c r="G168" s="442">
        <f>G38-G44</f>
        <v>24334.519999999997</v>
      </c>
    </row>
    <row r="169" spans="1:7" ht="12.75">
      <c r="A169" s="514" t="s">
        <v>420</v>
      </c>
      <c r="B169" s="514"/>
      <c r="C169" s="514" t="s">
        <v>421</v>
      </c>
      <c r="D169" s="445">
        <f>IF(D177=0,0,D168/D177)</f>
        <v>0</v>
      </c>
      <c r="E169" s="445">
        <f>IF(E177=0,0,E168/E177)</f>
        <v>0.010269357398712</v>
      </c>
      <c r="F169" s="445">
        <f>IF(F177=0,0,F168/F177)</f>
        <v>0.010195789665106252</v>
      </c>
      <c r="G169" s="445">
        <f>IF(G177=0,0,G168/G177)</f>
        <v>0.009006704445447315</v>
      </c>
    </row>
    <row r="170" spans="1:7" ht="12.75">
      <c r="A170" s="510" t="s">
        <v>422</v>
      </c>
      <c r="B170" s="510"/>
      <c r="C170" s="510" t="s">
        <v>423</v>
      </c>
      <c r="D170" s="442">
        <f>SUM(D82:D87)+SUM(D89:D94)</f>
        <v>0</v>
      </c>
      <c r="E170" s="442">
        <f>SUM(E82:E87)+SUM(E89:E94)</f>
        <v>217505.77905</v>
      </c>
      <c r="F170" s="442">
        <f>SUM(F82:F87)+SUM(F89:F94)</f>
        <v>193826.25503</v>
      </c>
      <c r="G170" s="442">
        <f>SUM(G82:G87)+SUM(G89:G94)</f>
        <v>181055.13099999996</v>
      </c>
    </row>
    <row r="171" spans="1:7" ht="12.75">
      <c r="A171" s="510" t="s">
        <v>424</v>
      </c>
      <c r="B171" s="510"/>
      <c r="C171" s="510" t="s">
        <v>425</v>
      </c>
      <c r="D171" s="461">
        <f>SUM(D96:D102)+SUM(D104:D105)</f>
        <v>0</v>
      </c>
      <c r="E171" s="461">
        <f>SUM(E96:E102)+SUM(E104:E105)</f>
        <v>71639.615</v>
      </c>
      <c r="F171" s="461">
        <f>SUM(F96:F102)+SUM(F104:F105)</f>
        <v>53917.57984</v>
      </c>
      <c r="G171" s="461">
        <f>SUM(G96:G102)+SUM(G104:G105)</f>
        <v>41574.3</v>
      </c>
    </row>
    <row r="172" spans="1:7" ht="12.75">
      <c r="A172" s="515" t="s">
        <v>413</v>
      </c>
      <c r="B172" s="515"/>
      <c r="C172" s="515" t="s">
        <v>426</v>
      </c>
      <c r="D172" s="465">
        <f>IF(D184=0,0,D170/D184)</f>
        <v>0</v>
      </c>
      <c r="E172" s="465">
        <f>IF(E184=0,0,E170/E184)</f>
        <v>0.08013521669613603</v>
      </c>
      <c r="F172" s="465">
        <f>IF(F184=0,0,F170/F184)</f>
        <v>0.07138561926172343</v>
      </c>
      <c r="G172" s="465">
        <f>IF(G184=0,0,G170/G184)</f>
        <v>0.06610647988635886</v>
      </c>
    </row>
    <row r="174" spans="1:7" ht="12.75">
      <c r="A174" s="467" t="s">
        <v>427</v>
      </c>
      <c r="B174" s="468"/>
      <c r="C174" s="467"/>
      <c r="D174" s="364"/>
      <c r="E174" s="364"/>
      <c r="F174" s="364"/>
      <c r="G174" s="364"/>
    </row>
    <row r="175" spans="1:7" s="260" customFormat="1" ht="12.75">
      <c r="A175" s="468" t="s">
        <v>428</v>
      </c>
      <c r="B175" s="468"/>
      <c r="C175" s="468" t="s">
        <v>429</v>
      </c>
      <c r="D175" s="471"/>
      <c r="E175" s="471">
        <v>385000</v>
      </c>
      <c r="F175" s="471">
        <v>385000</v>
      </c>
      <c r="G175" s="471">
        <v>389000</v>
      </c>
    </row>
    <row r="176" spans="1:7" ht="12.75">
      <c r="A176" s="467" t="s">
        <v>430</v>
      </c>
      <c r="B176" s="468"/>
      <c r="C176" s="468"/>
      <c r="D176" s="468"/>
      <c r="E176" s="468"/>
      <c r="F176" s="468"/>
      <c r="G176" s="468"/>
    </row>
    <row r="177" spans="1:7" ht="12.75">
      <c r="A177" s="468" t="s">
        <v>431</v>
      </c>
      <c r="B177" s="468"/>
      <c r="C177" s="468" t="s">
        <v>432</v>
      </c>
      <c r="D177" s="472">
        <f>SUM(D22:D32)+SUM(D44:D53)+SUM(D65:D72)+D75</f>
        <v>0</v>
      </c>
      <c r="E177" s="472">
        <f>SUM(E22:E32)+SUM(E44:E53)+SUM(E65:E72)+E75</f>
        <v>2632472.4080000003</v>
      </c>
      <c r="F177" s="472">
        <f>SUM(F22:F32)+SUM(F44:F53)+SUM(F65:F72)+F75</f>
        <v>2622279.576</v>
      </c>
      <c r="G177" s="472">
        <f>SUM(G22:G32)+SUM(G44:G53)+SUM(G65:G72)+G75</f>
        <v>2701822.864</v>
      </c>
    </row>
    <row r="178" spans="1:7" ht="12.75">
      <c r="A178" s="468" t="s">
        <v>433</v>
      </c>
      <c r="B178" s="468"/>
      <c r="C178" s="468" t="s">
        <v>434</v>
      </c>
      <c r="D178" s="472">
        <f>D78-D17-D20-D59-D63-D64</f>
        <v>0</v>
      </c>
      <c r="E178" s="472">
        <f>E78-E17-E20-E59-E63-E64</f>
        <v>2639176.1301100003</v>
      </c>
      <c r="F178" s="472">
        <f>F78-F17-F20-F59-F63-F64</f>
        <v>2679670.4987</v>
      </c>
      <c r="G178" s="472">
        <f>G78-G17-G20-G59-G63-G64</f>
        <v>2712946.3580000005</v>
      </c>
    </row>
    <row r="179" spans="1:7" ht="12.75">
      <c r="A179" s="468"/>
      <c r="B179" s="468"/>
      <c r="C179" s="468" t="s">
        <v>435</v>
      </c>
      <c r="D179" s="472">
        <f>D178+D170</f>
        <v>0</v>
      </c>
      <c r="E179" s="472">
        <f>E178+E170</f>
        <v>2856681.9091600003</v>
      </c>
      <c r="F179" s="472">
        <f>F178+F170</f>
        <v>2873496.75373</v>
      </c>
      <c r="G179" s="472">
        <f>G178+G170</f>
        <v>2894001.4890000005</v>
      </c>
    </row>
    <row r="180" spans="1:7" ht="12.75">
      <c r="A180" s="468" t="s">
        <v>436</v>
      </c>
      <c r="B180" s="468"/>
      <c r="C180" s="468" t="s">
        <v>437</v>
      </c>
      <c r="D180" s="472">
        <f>D38-D44+D8+D9+D10+D16-D33</f>
        <v>0</v>
      </c>
      <c r="E180" s="472">
        <f>E38-E44+E8+E9+E10+E16-E33</f>
        <v>154936.24899999998</v>
      </c>
      <c r="F180" s="472">
        <f>F38-F44+F8+F9+F10+F16-F33</f>
        <v>161779.148</v>
      </c>
      <c r="G180" s="472">
        <f>G38-G44+G8+G9+G10+G16-G33</f>
        <v>164310.67599999998</v>
      </c>
    </row>
    <row r="181" spans="1:7" ht="27" customHeight="1">
      <c r="A181" s="473" t="s">
        <v>438</v>
      </c>
      <c r="B181" s="474"/>
      <c r="C181" s="474" t="s">
        <v>439</v>
      </c>
      <c r="D181" s="475">
        <f>D22+D23+D24+D25+D26+D29+SUM(D44:D47)+SUM(D49:D53)-D54+D32-D33+SUM(D65:D70)+D72</f>
        <v>0</v>
      </c>
      <c r="E181" s="475">
        <f>E22+E23+E24+E25+E26+E29+SUM(E44:E47)+SUM(E49:E53)-E54+E32-E33+SUM(E65:E70)+E72</f>
        <v>2615381.144</v>
      </c>
      <c r="F181" s="475">
        <f>F22+F23+F24+F25+F26+F29+SUM(F44:F47)+SUM(F49:F53)-F54+F32-F33+SUM(F65:F70)+F72</f>
        <v>2600610.11</v>
      </c>
      <c r="G181" s="475">
        <f>G22+G23+G24+G25+G26+G29+SUM(G44:G47)+SUM(G49:G53)-G54+G32-G33+SUM(G65:G70)+G72</f>
        <v>2685182.2460000003</v>
      </c>
    </row>
    <row r="182" spans="1:7" ht="12.75">
      <c r="A182" s="474" t="s">
        <v>440</v>
      </c>
      <c r="B182" s="474"/>
      <c r="C182" s="474" t="s">
        <v>441</v>
      </c>
      <c r="D182" s="475">
        <f>D181+D171</f>
        <v>0</v>
      </c>
      <c r="E182" s="475">
        <f>E181+E171</f>
        <v>2687020.759</v>
      </c>
      <c r="F182" s="475">
        <f>F181+F171</f>
        <v>2654527.6898399997</v>
      </c>
      <c r="G182" s="475">
        <f>G181+G171</f>
        <v>2726756.546</v>
      </c>
    </row>
    <row r="183" spans="1:7" ht="12.75">
      <c r="A183" s="474" t="s">
        <v>442</v>
      </c>
      <c r="B183" s="474"/>
      <c r="C183" s="474" t="s">
        <v>443</v>
      </c>
      <c r="D183" s="475">
        <f>D4+D5-D7+D38+D39+D40+D41+D43+D13-D16+D57+D58+D60+D61+D62</f>
        <v>0</v>
      </c>
      <c r="E183" s="475">
        <f>E4+E5-E7+E38+E39+E40+E41+E43+E13-E16+E57+E58+E60+E61+E62</f>
        <v>2496728.83611</v>
      </c>
      <c r="F183" s="475">
        <f>F4+F5-F7+F38+F39+F40+F41+F43+F13-F16+F57+F58+F60+F61+F62</f>
        <v>2521374.0477</v>
      </c>
      <c r="G183" s="475">
        <f>G4+G5-G7+G38+G39+G40+G41+G43+G13-G16+G57+G58+G60+G61+G62</f>
        <v>2557785.771</v>
      </c>
    </row>
    <row r="184" spans="1:7" ht="12.75">
      <c r="A184" s="474" t="s">
        <v>444</v>
      </c>
      <c r="B184" s="474"/>
      <c r="C184" s="474" t="s">
        <v>445</v>
      </c>
      <c r="D184" s="475">
        <f>D183+D170</f>
        <v>0</v>
      </c>
      <c r="E184" s="475">
        <f>E183+E170</f>
        <v>2714234.61516</v>
      </c>
      <c r="F184" s="475">
        <f>F183+F170</f>
        <v>2715200.30273</v>
      </c>
      <c r="G184" s="475">
        <f>G183+G170</f>
        <v>2738840.9020000002</v>
      </c>
    </row>
    <row r="185" spans="1:7" ht="12.75">
      <c r="A185" s="474"/>
      <c r="B185" s="474"/>
      <c r="C185" s="474" t="s">
        <v>446</v>
      </c>
      <c r="D185" s="475">
        <f aca="true" t="shared" si="0" ref="D185:G186">D181-D183</f>
        <v>0</v>
      </c>
      <c r="E185" s="475">
        <f t="shared" si="0"/>
        <v>118652.30788999982</v>
      </c>
      <c r="F185" s="475">
        <f t="shared" si="0"/>
        <v>79236.06229999987</v>
      </c>
      <c r="G185" s="475">
        <f t="shared" si="0"/>
        <v>127396.4750000001</v>
      </c>
    </row>
    <row r="186" spans="1:7" ht="12.75">
      <c r="A186" s="474"/>
      <c r="B186" s="474"/>
      <c r="C186" s="474" t="s">
        <v>447</v>
      </c>
      <c r="D186" s="475">
        <f t="shared" si="0"/>
        <v>0</v>
      </c>
      <c r="E186" s="475">
        <f t="shared" si="0"/>
        <v>-27213.856159999967</v>
      </c>
      <c r="F186" s="475">
        <f t="shared" si="0"/>
        <v>-60672.612890000455</v>
      </c>
      <c r="G186" s="475">
        <f t="shared" si="0"/>
        <v>-12084.356000000145</v>
      </c>
    </row>
  </sheetData>
  <sheetProtection selectLockedCells="1"/>
  <mergeCells count="2">
    <mergeCell ref="A3:C3"/>
    <mergeCell ref="A81:C8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&amp;LFachgruppe für kantonale Finanzfragen (FkF)
Groupe d'études pour les finances cantonales
&amp;CRechnung 2011 - Budget 2013
Compte 2011 - Budget 2013&amp;RZürich, 12.9.2013</oddHeader>
    <oddFooter>&amp;LQuelle/Source: FkF Sept. 2013</oddFooter>
  </headerFooter>
  <rowBreaks count="2" manualBreakCount="2">
    <brk id="79" max="6" man="1"/>
    <brk id="147" max="6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2" width="17.140625" style="0" customWidth="1"/>
    <col min="3" max="4" width="16.7109375" style="0" customWidth="1"/>
    <col min="5" max="5" width="21.8515625" style="0" customWidth="1"/>
  </cols>
  <sheetData>
    <row r="1" spans="2:5" ht="12.75">
      <c r="B1" s="4"/>
      <c r="C1" s="4"/>
      <c r="D1" s="4"/>
      <c r="E1" s="4"/>
    </row>
    <row r="2" spans="1:2" ht="20.25" customHeight="1">
      <c r="A2" s="48" t="s">
        <v>199</v>
      </c>
      <c r="B2" s="55"/>
    </row>
    <row r="3" spans="1:5" ht="17.25" customHeight="1" thickBot="1">
      <c r="A3" s="48" t="s">
        <v>200</v>
      </c>
      <c r="B3" s="4"/>
      <c r="C3" s="4"/>
      <c r="D3" s="4"/>
      <c r="E3" s="4"/>
    </row>
    <row r="4" spans="1:5" ht="13.5" thickTop="1">
      <c r="A4" s="169" t="s">
        <v>2</v>
      </c>
      <c r="B4" s="168" t="s">
        <v>10</v>
      </c>
      <c r="C4" s="168" t="s">
        <v>3</v>
      </c>
      <c r="D4" s="168" t="s">
        <v>11</v>
      </c>
      <c r="E4" s="174" t="s">
        <v>5</v>
      </c>
    </row>
    <row r="5" spans="1:5" ht="12.75">
      <c r="A5" s="170" t="s">
        <v>1</v>
      </c>
      <c r="B5" s="44" t="s">
        <v>18</v>
      </c>
      <c r="C5" s="44" t="s">
        <v>4</v>
      </c>
      <c r="D5" s="44" t="s">
        <v>12</v>
      </c>
      <c r="E5" s="175" t="s">
        <v>6</v>
      </c>
    </row>
    <row r="6" spans="1:5" ht="12.75">
      <c r="A6" s="171"/>
      <c r="B6" s="45" t="s">
        <v>19</v>
      </c>
      <c r="C6" s="45"/>
      <c r="D6" s="60"/>
      <c r="E6" s="176"/>
    </row>
    <row r="7" spans="1:5" ht="24" customHeight="1">
      <c r="A7" s="172"/>
      <c r="B7" s="61" t="s">
        <v>16</v>
      </c>
      <c r="C7" s="62"/>
      <c r="D7" s="62"/>
      <c r="E7" s="177"/>
    </row>
    <row r="8" spans="1:5" ht="24" customHeight="1">
      <c r="A8" s="173" t="s">
        <v>193</v>
      </c>
      <c r="B8" s="166">
        <v>-81781.99300000072</v>
      </c>
      <c r="C8" s="166">
        <v>947172.3999999999</v>
      </c>
      <c r="D8" s="166">
        <v>-624650.6560000014</v>
      </c>
      <c r="E8" s="178">
        <v>0.34051007398441785</v>
      </c>
    </row>
    <row r="9" spans="1:5" ht="24" customHeight="1">
      <c r="A9" s="173" t="s">
        <v>101</v>
      </c>
      <c r="B9" s="166">
        <v>17364.25346999988</v>
      </c>
      <c r="C9" s="166">
        <v>592587.7164999999</v>
      </c>
      <c r="D9" s="166">
        <v>46856.20698999998</v>
      </c>
      <c r="E9" s="179">
        <v>1.0790704999198206</v>
      </c>
    </row>
    <row r="10" spans="1:5" ht="24" customHeight="1">
      <c r="A10" s="173" t="s">
        <v>201</v>
      </c>
      <c r="B10" s="166">
        <v>-6703.722110000439</v>
      </c>
      <c r="C10" s="166">
        <v>145866.16405000002</v>
      </c>
      <c r="D10" s="166">
        <v>-27159.959160000086</v>
      </c>
      <c r="E10" s="178">
        <v>0.813802197809972</v>
      </c>
    </row>
    <row r="11" spans="1:5" ht="24" customHeight="1">
      <c r="A11" s="173" t="s">
        <v>202</v>
      </c>
      <c r="B11" s="166">
        <v>2599.0109999999404</v>
      </c>
      <c r="C11" s="166">
        <v>26624.5</v>
      </c>
      <c r="D11" s="166">
        <v>-13075.668999999947</v>
      </c>
      <c r="E11" s="178">
        <v>0.5088858382317059</v>
      </c>
    </row>
    <row r="12" spans="1:5" ht="24" customHeight="1">
      <c r="A12" s="173" t="s">
        <v>107</v>
      </c>
      <c r="B12" s="166">
        <v>-92963.49999999977</v>
      </c>
      <c r="C12" s="166">
        <v>76784.90000000001</v>
      </c>
      <c r="D12" s="166">
        <v>-94885.29999999977</v>
      </c>
      <c r="E12" s="180" t="s">
        <v>100</v>
      </c>
    </row>
    <row r="13" spans="1:5" ht="24" customHeight="1">
      <c r="A13" s="173" t="s">
        <v>203</v>
      </c>
      <c r="B13" s="166">
        <v>-1991</v>
      </c>
      <c r="C13" s="166">
        <v>26020</v>
      </c>
      <c r="D13" s="166">
        <v>-26379</v>
      </c>
      <c r="E13" s="180" t="s">
        <v>100</v>
      </c>
    </row>
    <row r="14" spans="1:5" ht="24" customHeight="1">
      <c r="A14" s="173" t="s">
        <v>194</v>
      </c>
      <c r="B14" s="166">
        <v>-444.1000000000349</v>
      </c>
      <c r="C14" s="166">
        <v>28440</v>
      </c>
      <c r="D14" s="166">
        <v>-15415.500000000036</v>
      </c>
      <c r="E14" s="178">
        <v>0.4579641350210958</v>
      </c>
    </row>
    <row r="15" spans="1:5" ht="24" customHeight="1">
      <c r="A15" s="173" t="s">
        <v>195</v>
      </c>
      <c r="B15" s="166">
        <v>-3159.9000000000815</v>
      </c>
      <c r="C15" s="166">
        <v>18017.300000000003</v>
      </c>
      <c r="D15" s="166">
        <v>-2691.6999999999916</v>
      </c>
      <c r="E15" s="180">
        <v>0.8506046965971599</v>
      </c>
    </row>
    <row r="16" spans="1:5" ht="24" customHeight="1">
      <c r="A16" s="173" t="s">
        <v>204</v>
      </c>
      <c r="B16" s="166">
        <v>-3799.350000000093</v>
      </c>
      <c r="C16" s="166">
        <v>93977.7</v>
      </c>
      <c r="D16" s="166">
        <v>-13929.062000000078</v>
      </c>
      <c r="E16" s="178">
        <v>0.8517833273212679</v>
      </c>
    </row>
    <row r="17" spans="1:5" ht="24" customHeight="1">
      <c r="A17" s="173" t="s">
        <v>196</v>
      </c>
      <c r="B17" s="166">
        <v>1011</v>
      </c>
      <c r="C17" s="166">
        <v>120702.00000000001</v>
      </c>
      <c r="D17" s="166">
        <v>99416.21000000037</v>
      </c>
      <c r="E17" s="178">
        <v>1.8236500637934778</v>
      </c>
    </row>
    <row r="18" spans="1:5" ht="24" customHeight="1">
      <c r="A18" s="173" t="s">
        <v>205</v>
      </c>
      <c r="B18" s="166">
        <v>-110594.62900000019</v>
      </c>
      <c r="C18" s="166">
        <v>128621.9</v>
      </c>
      <c r="D18" s="166">
        <v>-159946.52900000013</v>
      </c>
      <c r="E18" s="179" t="s">
        <v>100</v>
      </c>
    </row>
    <row r="19" spans="1:5" ht="24" customHeight="1">
      <c r="A19" s="173" t="s">
        <v>162</v>
      </c>
      <c r="B19" s="166">
        <v>77829.54499999993</v>
      </c>
      <c r="C19" s="166">
        <v>308400</v>
      </c>
      <c r="D19" s="166">
        <v>-115596.53700000007</v>
      </c>
      <c r="E19" s="179">
        <v>0.6251733560311282</v>
      </c>
    </row>
    <row r="20" spans="1:5" ht="24" customHeight="1">
      <c r="A20" s="173" t="s">
        <v>197</v>
      </c>
      <c r="B20" s="166">
        <v>-28720.200000000186</v>
      </c>
      <c r="C20" s="166">
        <v>203910</v>
      </c>
      <c r="D20" s="166">
        <v>-227738.50000000035</v>
      </c>
      <c r="E20" s="180" t="s">
        <v>100</v>
      </c>
    </row>
    <row r="21" spans="1:5" ht="24" customHeight="1">
      <c r="A21" s="173" t="s">
        <v>164</v>
      </c>
      <c r="B21" s="166">
        <v>-35881.29999999993</v>
      </c>
      <c r="C21" s="166">
        <v>29006.5</v>
      </c>
      <c r="D21" s="166">
        <v>-49216.99999999993</v>
      </c>
      <c r="E21" s="180" t="s">
        <v>100</v>
      </c>
    </row>
    <row r="22" spans="1:5" ht="24" customHeight="1">
      <c r="A22" s="173" t="s">
        <v>165</v>
      </c>
      <c r="B22" s="166">
        <v>-13196.399999999965</v>
      </c>
      <c r="C22" s="166">
        <v>42815</v>
      </c>
      <c r="D22" s="166">
        <v>-25015.999999999964</v>
      </c>
      <c r="E22" s="180">
        <v>0.4157187901436421</v>
      </c>
    </row>
    <row r="23" spans="1:5" ht="24" customHeight="1">
      <c r="A23" s="173" t="s">
        <v>166</v>
      </c>
      <c r="B23" s="166">
        <v>-8937</v>
      </c>
      <c r="C23" s="166">
        <v>9370</v>
      </c>
      <c r="D23" s="166">
        <v>-16653</v>
      </c>
      <c r="E23" s="180" t="s">
        <v>100</v>
      </c>
    </row>
    <row r="24" spans="1:5" ht="24" customHeight="1">
      <c r="A24" s="173" t="s">
        <v>167</v>
      </c>
      <c r="B24" s="166">
        <v>-28411.200000000186</v>
      </c>
      <c r="C24" s="166">
        <v>194213.3</v>
      </c>
      <c r="D24" s="166">
        <v>-108451.10000000018</v>
      </c>
      <c r="E24" s="180">
        <v>0.44158767705404217</v>
      </c>
    </row>
    <row r="25" spans="1:5" ht="24" customHeight="1">
      <c r="A25" s="173" t="s">
        <v>168</v>
      </c>
      <c r="B25" s="166">
        <v>-25799</v>
      </c>
      <c r="C25" s="166">
        <v>195935</v>
      </c>
      <c r="D25" s="166">
        <v>-39037</v>
      </c>
      <c r="E25" s="178">
        <v>0.8007655600071453</v>
      </c>
    </row>
    <row r="26" spans="1:5" ht="24" customHeight="1">
      <c r="A26" s="173" t="s">
        <v>169</v>
      </c>
      <c r="B26" s="166">
        <v>-60117.08099999931</v>
      </c>
      <c r="C26" s="166">
        <v>259034.55</v>
      </c>
      <c r="D26" s="166">
        <v>-48493.08099999931</v>
      </c>
      <c r="E26" s="178">
        <v>0.8127930000071446</v>
      </c>
    </row>
    <row r="27" spans="1:5" ht="24" customHeight="1">
      <c r="A27" s="173" t="s">
        <v>206</v>
      </c>
      <c r="B27" s="166">
        <v>-13540</v>
      </c>
      <c r="C27" s="166">
        <v>97201</v>
      </c>
      <c r="D27" s="166">
        <v>-27159.959160000086</v>
      </c>
      <c r="E27" s="178">
        <v>0.813802197809972</v>
      </c>
    </row>
    <row r="28" spans="1:5" ht="24" customHeight="1">
      <c r="A28" s="173" t="s">
        <v>172</v>
      </c>
      <c r="B28" s="166">
        <v>-220406</v>
      </c>
      <c r="C28" s="166">
        <v>229900</v>
      </c>
      <c r="D28" s="166">
        <v>-255106</v>
      </c>
      <c r="E28" s="180" t="s">
        <v>100</v>
      </c>
    </row>
    <row r="29" spans="1:5" ht="24" customHeight="1">
      <c r="A29" s="173" t="s">
        <v>173</v>
      </c>
      <c r="B29" s="166">
        <v>13121.399999999441</v>
      </c>
      <c r="C29" s="166">
        <v>300000</v>
      </c>
      <c r="D29" s="166">
        <v>-113800.20000000056</v>
      </c>
      <c r="E29" s="179">
        <v>0.6206659999999982</v>
      </c>
    </row>
    <row r="30" spans="1:5" ht="24" customHeight="1">
      <c r="A30" s="173" t="s">
        <v>176</v>
      </c>
      <c r="B30" s="166">
        <v>2715.0000000004657</v>
      </c>
      <c r="C30" s="166">
        <v>182692.49999999994</v>
      </c>
      <c r="D30" s="166">
        <v>1869.900000000518</v>
      </c>
      <c r="E30" s="178">
        <v>1.0102352313313383</v>
      </c>
    </row>
    <row r="31" spans="1:5" ht="24" customHeight="1">
      <c r="A31" s="173" t="s">
        <v>177</v>
      </c>
      <c r="B31" s="166">
        <v>-17340.19999999972</v>
      </c>
      <c r="C31" s="166">
        <v>60496.299999999996</v>
      </c>
      <c r="D31" s="166">
        <v>-17647.199999999713</v>
      </c>
      <c r="E31" s="180">
        <v>0.7082929038635468</v>
      </c>
    </row>
    <row r="32" spans="1:5" ht="24" customHeight="1">
      <c r="A32" s="173" t="s">
        <v>178</v>
      </c>
      <c r="B32" s="166">
        <v>-349228.38499999885</v>
      </c>
      <c r="C32" s="166">
        <v>798116.033</v>
      </c>
      <c r="D32" s="166">
        <v>-641602.8129999989</v>
      </c>
      <c r="E32" s="180">
        <v>0.34104961975258485</v>
      </c>
    </row>
    <row r="33" spans="1:5" ht="24" customHeight="1">
      <c r="A33" s="173" t="s">
        <v>207</v>
      </c>
      <c r="B33" s="167">
        <v>-3180.5999999999767</v>
      </c>
      <c r="C33" s="167">
        <v>41282</v>
      </c>
      <c r="D33" s="167">
        <v>-1821.6000000000495</v>
      </c>
      <c r="E33" s="182">
        <v>0.9558742308996645</v>
      </c>
    </row>
    <row r="34" spans="1:5" ht="15">
      <c r="A34" s="172"/>
      <c r="B34" s="63"/>
      <c r="C34" s="63"/>
      <c r="D34" s="63"/>
      <c r="E34" s="183"/>
    </row>
    <row r="35" spans="1:5" ht="15">
      <c r="A35" s="173" t="s">
        <v>189</v>
      </c>
      <c r="B35" s="166">
        <v>-991555.3506399997</v>
      </c>
      <c r="C35" s="46">
        <v>5157186.763549998</v>
      </c>
      <c r="D35" s="166">
        <v>-2517331.0483299997</v>
      </c>
      <c r="E35" s="178">
        <v>0.5344985294817073</v>
      </c>
    </row>
    <row r="36" spans="1:5" ht="15.75" thickBot="1">
      <c r="A36" s="184">
        <v>0</v>
      </c>
      <c r="B36" s="185"/>
      <c r="C36" s="185"/>
      <c r="D36" s="185"/>
      <c r="E36" s="186"/>
    </row>
    <row r="37" spans="1:5" ht="15.75" thickTop="1">
      <c r="A37" s="4" t="s">
        <v>7</v>
      </c>
      <c r="B37" s="47"/>
      <c r="C37" s="47"/>
      <c r="D37" s="47"/>
      <c r="E37" s="47"/>
    </row>
    <row r="38" spans="1:5" ht="12.75">
      <c r="A38" s="1" t="s">
        <v>17</v>
      </c>
      <c r="B38" s="151"/>
      <c r="C38" s="151"/>
      <c r="D38" s="151"/>
      <c r="E38" s="151"/>
    </row>
    <row r="39" spans="1:5" ht="12.75">
      <c r="A39" t="s">
        <v>198</v>
      </c>
      <c r="B39" s="151"/>
      <c r="C39" s="151"/>
      <c r="D39" s="151"/>
      <c r="E39" s="151"/>
    </row>
    <row r="40" spans="2:5" ht="12.75">
      <c r="B40" s="151"/>
      <c r="C40" s="151"/>
      <c r="D40" s="151"/>
      <c r="E40" s="151"/>
    </row>
  </sheetData>
  <sheetProtection/>
  <printOptions/>
  <pageMargins left="0.6692913385826772" right="0.5511811023622047" top="0.984251968503937" bottom="0.75" header="0.5118110236220472" footer="0.4724409448818898"/>
  <pageSetup horizontalDpi="300" verticalDpi="300" orientation="portrait" paperSize="9" scale="92" r:id="rId1"/>
  <headerFooter alignWithMargins="0">
    <oddHeader>&amp;LFachgruppe für kantonale Finanzfragen (FkF)
Groupe d'étude pour les finances cantonales&amp;RZürich, 12.9.2013</oddHeader>
    <oddFooter>&amp;LQuelle/Source: FkF Sept. 2013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2" width="17.140625" style="0" customWidth="1"/>
    <col min="3" max="4" width="16.7109375" style="0" customWidth="1"/>
    <col min="5" max="5" width="21.8515625" style="0" customWidth="1"/>
  </cols>
  <sheetData>
    <row r="1" spans="2:5" ht="12.75">
      <c r="B1" s="4"/>
      <c r="C1" s="4"/>
      <c r="D1" s="4"/>
      <c r="E1" s="4"/>
    </row>
    <row r="2" spans="1:2" ht="18" customHeight="1">
      <c r="A2" s="48" t="s">
        <v>208</v>
      </c>
      <c r="B2" s="55"/>
    </row>
    <row r="3" spans="1:5" ht="20.25" customHeight="1" thickBot="1">
      <c r="A3" s="48" t="s">
        <v>209</v>
      </c>
      <c r="B3" s="4"/>
      <c r="C3" s="4"/>
      <c r="D3" s="4"/>
      <c r="E3" s="4"/>
    </row>
    <row r="4" spans="1:5" ht="13.5" thickTop="1">
      <c r="A4" s="169" t="s">
        <v>2</v>
      </c>
      <c r="B4" s="168" t="s">
        <v>10</v>
      </c>
      <c r="C4" s="168" t="s">
        <v>3</v>
      </c>
      <c r="D4" s="168" t="s">
        <v>11</v>
      </c>
      <c r="E4" s="174" t="s">
        <v>5</v>
      </c>
    </row>
    <row r="5" spans="1:5" ht="12.75">
      <c r="A5" s="170" t="s">
        <v>1</v>
      </c>
      <c r="B5" s="44" t="s">
        <v>18</v>
      </c>
      <c r="C5" s="44" t="s">
        <v>4</v>
      </c>
      <c r="D5" s="44" t="s">
        <v>12</v>
      </c>
      <c r="E5" s="175" t="s">
        <v>6</v>
      </c>
    </row>
    <row r="6" spans="1:5" ht="12.75">
      <c r="A6" s="171"/>
      <c r="B6" s="45" t="s">
        <v>19</v>
      </c>
      <c r="C6" s="45"/>
      <c r="D6" s="60"/>
      <c r="E6" s="176"/>
    </row>
    <row r="7" spans="1:5" ht="24" customHeight="1">
      <c r="A7" s="172"/>
      <c r="B7" s="61" t="s">
        <v>16</v>
      </c>
      <c r="C7" s="62"/>
      <c r="D7" s="62"/>
      <c r="E7" s="177"/>
    </row>
    <row r="8" spans="1:6" ht="24" customHeight="1">
      <c r="A8" s="173" t="s">
        <v>193</v>
      </c>
      <c r="B8" s="166">
        <v>105626.64999999851</v>
      </c>
      <c r="C8" s="166">
        <v>518609</v>
      </c>
      <c r="D8" s="166">
        <v>193234.90999999852</v>
      </c>
      <c r="E8" s="180">
        <v>1.3726023073259401</v>
      </c>
      <c r="F8" t="s">
        <v>0</v>
      </c>
    </row>
    <row r="9" spans="1:5" ht="24" customHeight="1">
      <c r="A9" s="173" t="s">
        <v>101</v>
      </c>
      <c r="B9" s="166">
        <v>-188921.67879999988</v>
      </c>
      <c r="C9" s="166">
        <v>837701.94355</v>
      </c>
      <c r="D9" s="166">
        <v>-429572.74155999994</v>
      </c>
      <c r="E9" s="179">
        <v>0.4872009730100859</v>
      </c>
    </row>
    <row r="10" spans="1:6" ht="24" customHeight="1">
      <c r="A10" s="173" t="s">
        <v>201</v>
      </c>
      <c r="B10" s="166">
        <v>-57390.922699999996</v>
      </c>
      <c r="C10" s="166">
        <v>139908.67518999998</v>
      </c>
      <c r="D10" s="166">
        <v>-59790.49188999974</v>
      </c>
      <c r="E10" s="178">
        <v>0.5726462865236731</v>
      </c>
      <c r="F10" t="s">
        <v>0</v>
      </c>
    </row>
    <row r="11" spans="1:5" ht="24" customHeight="1">
      <c r="A11" s="173" t="s">
        <v>202</v>
      </c>
      <c r="B11" s="166">
        <v>4634.964000000036</v>
      </c>
      <c r="C11" s="166">
        <v>20443.703999999998</v>
      </c>
      <c r="D11" s="166">
        <v>-3264.6699999999546</v>
      </c>
      <c r="E11" s="178">
        <v>0.8403092707662</v>
      </c>
    </row>
    <row r="12" spans="1:5" ht="24" customHeight="1">
      <c r="A12" s="173" t="s">
        <v>107</v>
      </c>
      <c r="B12" s="166">
        <v>-94820</v>
      </c>
      <c r="C12" s="166">
        <v>55308</v>
      </c>
      <c r="D12" s="166">
        <v>-77420</v>
      </c>
      <c r="E12" s="180" t="s">
        <v>100</v>
      </c>
    </row>
    <row r="13" spans="1:5" ht="24" customHeight="1">
      <c r="A13" s="173" t="s">
        <v>203</v>
      </c>
      <c r="B13" s="166">
        <v>-2194</v>
      </c>
      <c r="C13" s="166">
        <v>21323</v>
      </c>
      <c r="D13" s="166">
        <v>-15574</v>
      </c>
      <c r="E13" s="178">
        <v>0.26961496975097315</v>
      </c>
    </row>
    <row r="14" spans="1:6" ht="24" customHeight="1">
      <c r="A14" s="173" t="s">
        <v>194</v>
      </c>
      <c r="B14" s="166">
        <v>162.85000000003492</v>
      </c>
      <c r="C14" s="166">
        <v>22324.199999999997</v>
      </c>
      <c r="D14" s="166">
        <v>-8255.499999999953</v>
      </c>
      <c r="E14" s="178">
        <v>0.6301995144282907</v>
      </c>
      <c r="F14" t="s">
        <v>0</v>
      </c>
    </row>
    <row r="15" spans="1:5" ht="24" customHeight="1">
      <c r="A15" s="173" t="s">
        <v>195</v>
      </c>
      <c r="B15" s="166">
        <v>706.2999999999884</v>
      </c>
      <c r="C15" s="166">
        <v>13636.999999999998</v>
      </c>
      <c r="D15" s="166">
        <v>6677.800000000094</v>
      </c>
      <c r="E15" s="180">
        <v>1.4896788906732439</v>
      </c>
    </row>
    <row r="16" spans="1:5" ht="24" customHeight="1">
      <c r="A16" s="173" t="s">
        <v>204</v>
      </c>
      <c r="B16" s="166">
        <v>6037.666999999899</v>
      </c>
      <c r="C16" s="166">
        <v>80612.951</v>
      </c>
      <c r="D16" s="166">
        <v>4460.965999999928</v>
      </c>
      <c r="E16" s="178">
        <v>1.05533808085006</v>
      </c>
    </row>
    <row r="17" spans="1:6" ht="24" customHeight="1">
      <c r="A17" s="173" t="s">
        <v>196</v>
      </c>
      <c r="B17" s="166">
        <v>10576.80000000028</v>
      </c>
      <c r="C17" s="166">
        <v>110579</v>
      </c>
      <c r="D17" s="166">
        <v>3499.5000000007276</v>
      </c>
      <c r="E17" s="178">
        <v>1.0316470577596173</v>
      </c>
      <c r="F17" t="s">
        <v>0</v>
      </c>
    </row>
    <row r="18" spans="1:6" ht="24" customHeight="1">
      <c r="A18" s="173" t="s">
        <v>205</v>
      </c>
      <c r="B18" s="166">
        <v>-111391.19399999967</v>
      </c>
      <c r="C18" s="166">
        <v>122794.44599999998</v>
      </c>
      <c r="D18" s="166">
        <v>-169811.04599999974</v>
      </c>
      <c r="E18" s="179" t="s">
        <v>100</v>
      </c>
      <c r="F18" t="s">
        <v>0</v>
      </c>
    </row>
    <row r="19" spans="1:5" ht="24" customHeight="1">
      <c r="A19" s="173" t="s">
        <v>162</v>
      </c>
      <c r="B19" s="166">
        <v>183013.78399999905</v>
      </c>
      <c r="C19" s="166">
        <v>572836.144</v>
      </c>
      <c r="D19" s="166">
        <v>-269435.1010000009</v>
      </c>
      <c r="E19" s="179">
        <v>0.5296471707972378</v>
      </c>
    </row>
    <row r="20" spans="1:6" ht="24" customHeight="1">
      <c r="A20" s="173" t="s">
        <v>197</v>
      </c>
      <c r="B20" s="166">
        <v>-32252.999999999534</v>
      </c>
      <c r="C20" s="166">
        <v>114946.3</v>
      </c>
      <c r="D20" s="166">
        <v>-164129.70000000036</v>
      </c>
      <c r="E20" s="180" t="s">
        <v>100</v>
      </c>
      <c r="F20" t="s">
        <v>0</v>
      </c>
    </row>
    <row r="21" spans="1:5" ht="24" customHeight="1">
      <c r="A21" s="173" t="s">
        <v>164</v>
      </c>
      <c r="B21" s="166">
        <v>-29894.58577000012</v>
      </c>
      <c r="C21" s="166">
        <v>35117.773929999996</v>
      </c>
      <c r="D21" s="166">
        <v>-49673.58916000012</v>
      </c>
      <c r="E21" s="180" t="s">
        <v>100</v>
      </c>
    </row>
    <row r="22" spans="1:5" ht="24" customHeight="1">
      <c r="A22" s="173" t="s">
        <v>165</v>
      </c>
      <c r="B22" s="166">
        <v>-21938.199999999895</v>
      </c>
      <c r="C22" s="166">
        <v>116262.2</v>
      </c>
      <c r="D22" s="166">
        <v>-107835.39999999989</v>
      </c>
      <c r="E22" s="180">
        <v>0.07248099554283426</v>
      </c>
    </row>
    <row r="23" spans="1:5" ht="24" customHeight="1">
      <c r="A23" s="173" t="s">
        <v>166</v>
      </c>
      <c r="B23" s="166">
        <v>295.19999999998254</v>
      </c>
      <c r="C23" s="166">
        <v>8930.7</v>
      </c>
      <c r="D23" s="166">
        <v>-3705.1000000000186</v>
      </c>
      <c r="E23" s="180">
        <v>0.5851277055549936</v>
      </c>
    </row>
    <row r="24" spans="1:6" ht="24" customHeight="1">
      <c r="A24" s="173" t="s">
        <v>167</v>
      </c>
      <c r="B24" s="166">
        <v>-5293.199999999255</v>
      </c>
      <c r="C24" s="166">
        <v>174025.50000000003</v>
      </c>
      <c r="D24" s="166">
        <v>-79559.39999999928</v>
      </c>
      <c r="E24" s="178">
        <v>0.5428290681538093</v>
      </c>
      <c r="F24" t="s">
        <v>0</v>
      </c>
    </row>
    <row r="25" spans="1:6" ht="24" customHeight="1">
      <c r="A25" s="173" t="s">
        <v>168</v>
      </c>
      <c r="B25" s="166">
        <v>43748</v>
      </c>
      <c r="C25" s="166">
        <v>164192</v>
      </c>
      <c r="D25" s="166">
        <v>44478</v>
      </c>
      <c r="E25" s="178">
        <v>1.2708901773533425</v>
      </c>
      <c r="F25" t="s">
        <v>0</v>
      </c>
    </row>
    <row r="26" spans="1:6" ht="24" customHeight="1">
      <c r="A26" s="173" t="s">
        <v>169</v>
      </c>
      <c r="B26" s="166">
        <v>899.7000000001863</v>
      </c>
      <c r="C26" s="166">
        <v>238670.69199999998</v>
      </c>
      <c r="D26" s="166">
        <v>13220.134000000195</v>
      </c>
      <c r="E26" s="178">
        <v>1.0553906886900055</v>
      </c>
      <c r="F26" t="s">
        <v>0</v>
      </c>
    </row>
    <row r="27" spans="1:5" ht="24" customHeight="1">
      <c r="A27" s="173" t="s">
        <v>206</v>
      </c>
      <c r="B27" s="166">
        <v>-36584</v>
      </c>
      <c r="C27" s="166">
        <v>87828</v>
      </c>
      <c r="D27" s="166">
        <v>-94035</v>
      </c>
      <c r="E27" s="180" t="s">
        <v>100</v>
      </c>
    </row>
    <row r="28" spans="1:5" ht="24" customHeight="1">
      <c r="A28" s="173" t="s">
        <v>172</v>
      </c>
      <c r="B28" s="166">
        <v>-97585.18385999929</v>
      </c>
      <c r="C28" s="166">
        <v>179286.38309999998</v>
      </c>
      <c r="D28" s="166">
        <v>-91179.34285999925</v>
      </c>
      <c r="E28" s="180">
        <v>0.49143185732548106</v>
      </c>
    </row>
    <row r="29" spans="1:6" ht="24" customHeight="1">
      <c r="A29" s="173" t="s">
        <v>173</v>
      </c>
      <c r="B29" s="166">
        <v>6449.750000001863</v>
      </c>
      <c r="C29" s="166">
        <v>257888</v>
      </c>
      <c r="D29" s="166">
        <v>-82289.64999999813</v>
      </c>
      <c r="E29" s="179">
        <v>0.6809093482442062</v>
      </c>
      <c r="F29" t="s">
        <v>0</v>
      </c>
    </row>
    <row r="30" spans="1:6" ht="24" customHeight="1">
      <c r="A30" s="173" t="s">
        <v>176</v>
      </c>
      <c r="B30" s="166">
        <v>1144.5</v>
      </c>
      <c r="C30" s="166">
        <v>181099.90000000002</v>
      </c>
      <c r="D30" s="166">
        <v>920.0999999999767</v>
      </c>
      <c r="E30" s="178">
        <v>1.0050806212482721</v>
      </c>
      <c r="F30" t="s">
        <v>0</v>
      </c>
    </row>
    <row r="31" spans="1:6" ht="24" customHeight="1">
      <c r="A31" s="173" t="s">
        <v>177</v>
      </c>
      <c r="B31" s="166">
        <v>56.01700000045821</v>
      </c>
      <c r="C31" s="166">
        <v>60826</v>
      </c>
      <c r="D31" s="166">
        <v>3660.23900000046</v>
      </c>
      <c r="E31" s="180">
        <v>1.0601755663696522</v>
      </c>
      <c r="F31" t="s">
        <v>0</v>
      </c>
    </row>
    <row r="32" spans="1:5" ht="24" customHeight="1">
      <c r="A32" s="173" t="s">
        <v>178</v>
      </c>
      <c r="B32" s="166">
        <v>-459786.4509999994</v>
      </c>
      <c r="C32" s="166">
        <v>580395.0900000001</v>
      </c>
      <c r="D32" s="166">
        <v>368272.17900000024</v>
      </c>
      <c r="E32" s="180">
        <v>1.5127310932694067</v>
      </c>
    </row>
    <row r="33" spans="1:5" ht="24" customHeight="1">
      <c r="A33" s="173" t="s">
        <v>207</v>
      </c>
      <c r="B33" s="167">
        <v>-7142.964810000034</v>
      </c>
      <c r="C33" s="167">
        <v>37842.88686</v>
      </c>
      <c r="D33" s="167">
        <v>-1665.0813699999053</v>
      </c>
      <c r="E33" s="182">
        <v>0.9560001493501306</v>
      </c>
    </row>
    <row r="34" spans="1:5" ht="15">
      <c r="A34" s="172"/>
      <c r="B34" s="63"/>
      <c r="C34" s="63"/>
      <c r="D34" s="63"/>
      <c r="E34" s="183"/>
    </row>
    <row r="35" spans="1:5" ht="15">
      <c r="A35" s="173" t="s">
        <v>189</v>
      </c>
      <c r="B35" s="166">
        <v>-781843.1989399968</v>
      </c>
      <c r="C35" s="46">
        <v>4753389.48963</v>
      </c>
      <c r="D35" s="166">
        <v>-1068771.9858399967</v>
      </c>
      <c r="E35" s="178">
        <v>0.7846497026231116</v>
      </c>
    </row>
    <row r="36" spans="1:5" ht="15.75" thickBot="1">
      <c r="A36" s="187">
        <v>0</v>
      </c>
      <c r="B36" s="185"/>
      <c r="C36" s="185"/>
      <c r="D36" s="185"/>
      <c r="E36" s="186"/>
    </row>
    <row r="37" spans="1:5" ht="15.75" thickTop="1">
      <c r="A37" s="4" t="s">
        <v>7</v>
      </c>
      <c r="B37" s="47"/>
      <c r="C37" s="47"/>
      <c r="D37" s="47"/>
      <c r="E37" s="47"/>
    </row>
    <row r="38" spans="1:5" ht="12.75">
      <c r="A38" s="1" t="s">
        <v>17</v>
      </c>
      <c r="B38" s="4"/>
      <c r="C38" s="4"/>
      <c r="D38" s="4"/>
      <c r="E38" s="4"/>
    </row>
    <row r="39" spans="1:5" ht="12.75">
      <c r="A39" s="4" t="s">
        <v>198</v>
      </c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</sheetData>
  <sheetProtection/>
  <printOptions/>
  <pageMargins left="0.6692913385826772" right="0.5511811023622047" top="0.984251968503937" bottom="0.75" header="0.5118110236220472" footer="0.4724409448818898"/>
  <pageSetup horizontalDpi="300" verticalDpi="300" orientation="portrait" paperSize="9" scale="92" r:id="rId1"/>
  <headerFooter alignWithMargins="0">
    <oddHeader>&amp;LFachgruppe für kantonale Finanzfragen (FkF)
Groupe d'étude pour les finances cantonales&amp;RZürich, 12.9.2013</oddHeader>
    <oddFooter>&amp;LQuelle/Source: FkF Sept. 2013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6">
      <selection activeCell="A1" sqref="A1"/>
    </sheetView>
  </sheetViews>
  <sheetFormatPr defaultColWidth="11.421875" defaultRowHeight="12.75"/>
  <cols>
    <col min="1" max="1" width="27.28125" style="0" customWidth="1"/>
    <col min="2" max="2" width="17.140625" style="0" customWidth="1"/>
    <col min="3" max="3" width="13.57421875" style="0" customWidth="1"/>
    <col min="4" max="4" width="14.8515625" style="0" customWidth="1"/>
    <col min="5" max="5" width="22.140625" style="0" customWidth="1"/>
  </cols>
  <sheetData>
    <row r="1" spans="2:5" ht="12.75">
      <c r="B1" s="4"/>
      <c r="C1" s="4"/>
      <c r="D1" s="4"/>
      <c r="E1" s="4"/>
    </row>
    <row r="2" spans="1:2" ht="15.75">
      <c r="A2" s="48" t="s">
        <v>210</v>
      </c>
      <c r="B2" s="55"/>
    </row>
    <row r="3" spans="1:5" ht="16.5" thickBot="1">
      <c r="A3" s="48" t="s">
        <v>211</v>
      </c>
      <c r="B3" s="4"/>
      <c r="C3" s="4"/>
      <c r="D3" s="4"/>
      <c r="E3" s="4"/>
    </row>
    <row r="4" spans="1:5" ht="13.5" thickTop="1">
      <c r="A4" s="169" t="s">
        <v>2</v>
      </c>
      <c r="B4" s="168" t="s">
        <v>10</v>
      </c>
      <c r="C4" s="168" t="s">
        <v>3</v>
      </c>
      <c r="D4" s="168" t="s">
        <v>11</v>
      </c>
      <c r="E4" s="174" t="s">
        <v>5</v>
      </c>
    </row>
    <row r="5" spans="1:5" ht="12.75">
      <c r="A5" s="170" t="s">
        <v>1</v>
      </c>
      <c r="B5" s="44" t="s">
        <v>18</v>
      </c>
      <c r="C5" s="44" t="s">
        <v>4</v>
      </c>
      <c r="D5" s="44" t="s">
        <v>12</v>
      </c>
      <c r="E5" s="175" t="s">
        <v>6</v>
      </c>
    </row>
    <row r="6" spans="1:5" ht="12.75">
      <c r="A6" s="171"/>
      <c r="B6" s="45" t="s">
        <v>19</v>
      </c>
      <c r="C6" s="45"/>
      <c r="D6" s="60"/>
      <c r="E6" s="176"/>
    </row>
    <row r="7" spans="1:5" ht="28.5" customHeight="1">
      <c r="A7" s="172"/>
      <c r="B7" s="61" t="s">
        <v>16</v>
      </c>
      <c r="C7" s="62"/>
      <c r="D7" s="62"/>
      <c r="E7" s="177"/>
    </row>
    <row r="8" spans="1:5" ht="24" customHeight="1">
      <c r="A8" s="173" t="s">
        <v>193</v>
      </c>
      <c r="B8" s="166">
        <v>17567.38899999857</v>
      </c>
      <c r="C8" s="166">
        <v>776288.8</v>
      </c>
      <c r="D8" s="166">
        <v>-211305.644000003</v>
      </c>
      <c r="E8" s="178">
        <v>0.7278002155898643</v>
      </c>
    </row>
    <row r="9" spans="1:5" ht="24" customHeight="1">
      <c r="A9" s="173" t="s">
        <v>101</v>
      </c>
      <c r="B9" s="166">
        <v>9175.487879998982</v>
      </c>
      <c r="C9" s="166">
        <v>591700.1555999999</v>
      </c>
      <c r="D9" s="166">
        <v>51640.732349999016</v>
      </c>
      <c r="E9" s="179">
        <v>1.0872751711508912</v>
      </c>
    </row>
    <row r="10" spans="1:5" ht="24" customHeight="1">
      <c r="A10" s="173" t="s">
        <v>201</v>
      </c>
      <c r="B10" s="166">
        <v>-11123.494000000414</v>
      </c>
      <c r="C10" s="166">
        <v>139480.83099999995</v>
      </c>
      <c r="D10" s="166">
        <v>-12084.356000000262</v>
      </c>
      <c r="E10" s="178">
        <v>0.9133618869821598</v>
      </c>
    </row>
    <row r="11" spans="1:5" ht="24" customHeight="1">
      <c r="A11" s="173" t="s">
        <v>202</v>
      </c>
      <c r="B11" s="166">
        <v>5344.679000000062</v>
      </c>
      <c r="C11" s="166">
        <v>27796.5</v>
      </c>
      <c r="D11" s="166">
        <v>-12260.516999999974</v>
      </c>
      <c r="E11" s="178">
        <v>0.5589186768118297</v>
      </c>
    </row>
    <row r="12" spans="1:5" ht="24" customHeight="1">
      <c r="A12" s="173" t="s">
        <v>107</v>
      </c>
      <c r="B12" s="166">
        <v>-100668</v>
      </c>
      <c r="C12" s="166">
        <v>86788</v>
      </c>
      <c r="D12" s="166">
        <v>-109053</v>
      </c>
      <c r="E12" s="179" t="s">
        <v>100</v>
      </c>
    </row>
    <row r="13" spans="1:5" ht="24" customHeight="1">
      <c r="A13" s="173" t="s">
        <v>203</v>
      </c>
      <c r="B13" s="166">
        <v>-1965</v>
      </c>
      <c r="C13" s="166">
        <v>28657</v>
      </c>
      <c r="D13" s="166">
        <v>-26661</v>
      </c>
      <c r="E13" s="178">
        <v>0.06965139407474613</v>
      </c>
    </row>
    <row r="14" spans="1:5" ht="24" customHeight="1">
      <c r="A14" s="173" t="s">
        <v>194</v>
      </c>
      <c r="B14" s="166">
        <v>-400.20000000006985</v>
      </c>
      <c r="C14" s="166">
        <v>24726</v>
      </c>
      <c r="D14" s="166">
        <v>-9631.500000000051</v>
      </c>
      <c r="E14" s="178">
        <v>0.6104707595243852</v>
      </c>
    </row>
    <row r="15" spans="1:5" ht="24" customHeight="1">
      <c r="A15" s="173" t="s">
        <v>195</v>
      </c>
      <c r="B15" s="166">
        <v>-658.6999999999534</v>
      </c>
      <c r="C15" s="166">
        <v>17260.300000000003</v>
      </c>
      <c r="D15" s="166">
        <v>-5764.5999999999785</v>
      </c>
      <c r="E15" s="180">
        <v>0.6660197099702799</v>
      </c>
    </row>
    <row r="16" spans="1:5" ht="24" customHeight="1">
      <c r="A16" s="173" t="s">
        <v>204</v>
      </c>
      <c r="B16" s="166">
        <v>-24843.70499999984</v>
      </c>
      <c r="C16" s="166">
        <v>108814.3</v>
      </c>
      <c r="D16" s="166">
        <v>-93362.6829999999</v>
      </c>
      <c r="E16" s="178">
        <v>0.14199987501642805</v>
      </c>
    </row>
    <row r="17" spans="1:5" ht="24" customHeight="1">
      <c r="A17" s="173" t="s">
        <v>196</v>
      </c>
      <c r="B17" s="166">
        <v>497.90000000037253</v>
      </c>
      <c r="C17" s="166">
        <v>154963</v>
      </c>
      <c r="D17" s="166">
        <v>-120753.40000000008</v>
      </c>
      <c r="E17" s="178">
        <v>0.2207597942734712</v>
      </c>
    </row>
    <row r="18" spans="1:5" ht="24" customHeight="1">
      <c r="A18" s="173" t="s">
        <v>205</v>
      </c>
      <c r="B18" s="166">
        <v>-146119.19999999972</v>
      </c>
      <c r="C18" s="166">
        <v>137428</v>
      </c>
      <c r="D18" s="166">
        <v>-225120.2</v>
      </c>
      <c r="E18" s="179" t="s">
        <v>100</v>
      </c>
    </row>
    <row r="19" spans="1:5" ht="24" customHeight="1">
      <c r="A19" s="173" t="s">
        <v>212</v>
      </c>
      <c r="B19" s="166">
        <v>7733.043000000063</v>
      </c>
      <c r="C19" s="166">
        <v>372937</v>
      </c>
      <c r="D19" s="166">
        <v>-230166.43299999996</v>
      </c>
      <c r="E19" s="179">
        <v>0.38282757409428414</v>
      </c>
    </row>
    <row r="20" spans="1:5" ht="24" customHeight="1">
      <c r="A20" s="173" t="s">
        <v>197</v>
      </c>
      <c r="B20" s="166">
        <v>-24756.976000000257</v>
      </c>
      <c r="C20" s="166">
        <v>300480.4</v>
      </c>
      <c r="D20" s="166">
        <v>-310781.70400000026</v>
      </c>
      <c r="E20" s="179" t="s">
        <v>100</v>
      </c>
    </row>
    <row r="21" spans="1:5" ht="24" customHeight="1">
      <c r="A21" s="173" t="s">
        <v>164</v>
      </c>
      <c r="B21" s="166">
        <v>-23626.699999999953</v>
      </c>
      <c r="C21" s="166">
        <v>31108</v>
      </c>
      <c r="D21" s="166">
        <v>-37448.79999999995</v>
      </c>
      <c r="E21" s="180" t="s">
        <v>100</v>
      </c>
    </row>
    <row r="22" spans="1:5" ht="24" customHeight="1">
      <c r="A22" s="173" t="s">
        <v>213</v>
      </c>
      <c r="B22" s="166">
        <v>-17220</v>
      </c>
      <c r="C22" s="166">
        <v>39179.5</v>
      </c>
      <c r="D22" s="166">
        <v>-28951.099999999948</v>
      </c>
      <c r="E22" s="179">
        <v>0.2610650978190138</v>
      </c>
    </row>
    <row r="23" spans="1:5" ht="24" customHeight="1">
      <c r="A23" s="173" t="s">
        <v>166</v>
      </c>
      <c r="B23" s="166">
        <v>-7633</v>
      </c>
      <c r="C23" s="166">
        <v>11328.85</v>
      </c>
      <c r="D23" s="166">
        <v>-16797.85</v>
      </c>
      <c r="E23" s="180" t="s">
        <v>100</v>
      </c>
    </row>
    <row r="24" spans="1:5" ht="24" customHeight="1">
      <c r="A24" s="173" t="s">
        <v>167</v>
      </c>
      <c r="B24" s="166">
        <v>-27028.700000000186</v>
      </c>
      <c r="C24" s="166">
        <v>171285.5</v>
      </c>
      <c r="D24" s="166">
        <v>-82931.10000000018</v>
      </c>
      <c r="E24" s="178">
        <v>0.5158311707645996</v>
      </c>
    </row>
    <row r="25" spans="1:5" ht="24" customHeight="1">
      <c r="A25" s="173" t="s">
        <v>214</v>
      </c>
      <c r="B25" s="166">
        <v>-52514</v>
      </c>
      <c r="C25" s="166">
        <v>207724</v>
      </c>
      <c r="D25" s="166">
        <v>-149817</v>
      </c>
      <c r="E25" s="179">
        <v>0.27876894340567293</v>
      </c>
    </row>
    <row r="26" spans="1:5" ht="24" customHeight="1">
      <c r="A26" s="173" t="s">
        <v>169</v>
      </c>
      <c r="B26" s="166">
        <v>2068.1689999997616</v>
      </c>
      <c r="C26" s="166">
        <v>236293.50900000002</v>
      </c>
      <c r="D26" s="166">
        <v>14192.168999999732</v>
      </c>
      <c r="E26" s="178">
        <v>1.0600616117643744</v>
      </c>
    </row>
    <row r="27" spans="1:5" ht="24" customHeight="1">
      <c r="A27" s="173" t="s">
        <v>206</v>
      </c>
      <c r="B27" s="166">
        <v>-16012</v>
      </c>
      <c r="C27" s="166">
        <v>89415</v>
      </c>
      <c r="D27" s="166">
        <v>-73343</v>
      </c>
      <c r="E27" s="179">
        <v>0.17974612760722475</v>
      </c>
    </row>
    <row r="28" spans="1:5" ht="24" customHeight="1">
      <c r="A28" s="173" t="s">
        <v>172</v>
      </c>
      <c r="B28" s="166">
        <v>-165597.28000000073</v>
      </c>
      <c r="C28" s="166">
        <v>223597.6</v>
      </c>
      <c r="D28" s="166">
        <v>-201234.88000000073</v>
      </c>
      <c r="E28" s="180">
        <v>0.10001323806695274</v>
      </c>
    </row>
    <row r="29" spans="1:5" ht="24" customHeight="1">
      <c r="A29" s="173" t="s">
        <v>173</v>
      </c>
      <c r="B29" s="166">
        <v>1817.0999999977648</v>
      </c>
      <c r="C29" s="166">
        <v>320900</v>
      </c>
      <c r="D29" s="166">
        <v>-135614.90000000224</v>
      </c>
      <c r="E29" s="179">
        <v>0.5773920224368893</v>
      </c>
    </row>
    <row r="30" spans="1:5" ht="24" customHeight="1">
      <c r="A30" s="173" t="s">
        <v>176</v>
      </c>
      <c r="B30" s="166">
        <v>6077.4000000003725</v>
      </c>
      <c r="C30" s="166">
        <v>177535.5</v>
      </c>
      <c r="D30" s="166">
        <v>106.60000000038417</v>
      </c>
      <c r="E30" s="178">
        <v>1.0006004432916256</v>
      </c>
    </row>
    <row r="31" spans="1:5" ht="24" customHeight="1">
      <c r="A31" s="173" t="s">
        <v>177</v>
      </c>
      <c r="B31" s="166">
        <v>-11531.452000000048</v>
      </c>
      <c r="C31" s="166">
        <v>63230.600000000006</v>
      </c>
      <c r="D31" s="166">
        <v>-18939.791000000056</v>
      </c>
      <c r="E31" s="178">
        <v>0.7004647907816777</v>
      </c>
    </row>
    <row r="32" spans="1:5" ht="24" customHeight="1">
      <c r="A32" s="173" t="s">
        <v>178</v>
      </c>
      <c r="B32" s="166">
        <v>-31590.00399439968</v>
      </c>
      <c r="C32" s="166">
        <v>560483</v>
      </c>
      <c r="D32" s="166">
        <v>66314.61000560026</v>
      </c>
      <c r="E32" s="181">
        <v>1.0900323189694865</v>
      </c>
    </row>
    <row r="33" spans="1:5" ht="24" customHeight="1">
      <c r="A33" s="173" t="s">
        <v>207</v>
      </c>
      <c r="B33" s="167">
        <v>726.5999999999767</v>
      </c>
      <c r="C33" s="167">
        <v>38378.6</v>
      </c>
      <c r="D33" s="166">
        <v>-354</v>
      </c>
      <c r="E33" s="179">
        <v>0.9907761096027473</v>
      </c>
    </row>
    <row r="34" spans="1:5" ht="15">
      <c r="A34" s="172"/>
      <c r="B34" s="63"/>
      <c r="C34" s="63"/>
      <c r="D34" s="63"/>
      <c r="E34" s="183"/>
    </row>
    <row r="35" spans="1:5" ht="15">
      <c r="A35" s="173" t="s">
        <v>189</v>
      </c>
      <c r="B35" s="166">
        <v>-612280.6431144049</v>
      </c>
      <c r="C35" s="46">
        <v>4937779.945599999</v>
      </c>
      <c r="D35" s="166">
        <v>-1795251.492644405</v>
      </c>
      <c r="E35" s="178">
        <v>0.6364253748804394</v>
      </c>
    </row>
    <row r="36" spans="1:5" ht="15.75" thickBot="1">
      <c r="A36" s="184">
        <v>0</v>
      </c>
      <c r="B36" s="185"/>
      <c r="C36" s="185"/>
      <c r="D36" s="185"/>
      <c r="E36" s="186"/>
    </row>
    <row r="37" spans="1:5" ht="15.75" thickTop="1">
      <c r="A37" s="4" t="s">
        <v>7</v>
      </c>
      <c r="B37" s="47"/>
      <c r="C37" s="47"/>
      <c r="D37" s="47"/>
      <c r="E37" s="47"/>
    </row>
    <row r="38" spans="1:5" ht="12.75">
      <c r="A38" t="s">
        <v>17</v>
      </c>
      <c r="B38" s="4"/>
      <c r="C38" s="4"/>
      <c r="D38" s="4"/>
      <c r="E38" s="4"/>
    </row>
    <row r="39" spans="1:5" ht="12.75">
      <c r="A39" t="s">
        <v>198</v>
      </c>
      <c r="B39" s="4"/>
      <c r="C39" s="4"/>
      <c r="D39" s="4"/>
      <c r="E39" s="4"/>
    </row>
    <row r="40" spans="2:5" ht="12.75">
      <c r="B40" s="4"/>
      <c r="C40" s="4"/>
      <c r="D40" s="4"/>
      <c r="E40" s="4"/>
    </row>
  </sheetData>
  <sheetProtection/>
  <printOptions/>
  <pageMargins left="0.6692913385826772" right="0.5511811023622047" top="0.984251968503937" bottom="0.75" header="0.5118110236220472" footer="0.4724409448818898"/>
  <pageSetup horizontalDpi="300" verticalDpi="300" orientation="portrait" paperSize="9" scale="92" r:id="rId1"/>
  <headerFooter alignWithMargins="0">
    <oddHeader>&amp;LFachgruppe für kantonale Finanzfragen (FkF)
Groupe d'étude pour les finances cantonales&amp;RZürich, 12.9.2013</oddHeader>
    <oddFooter>&amp;LQuelle/Source: FkF Sept. 2013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BI62"/>
  <sheetViews>
    <sheetView zoomScalePageLayoutView="0" workbookViewId="0" topLeftCell="A19">
      <selection activeCell="A1" sqref="A1"/>
    </sheetView>
  </sheetViews>
  <sheetFormatPr defaultColWidth="11.421875" defaultRowHeight="12.75"/>
  <cols>
    <col min="1" max="1" width="23.8515625" style="90" customWidth="1"/>
    <col min="2" max="2" width="14.7109375" style="94" customWidth="1"/>
    <col min="3" max="3" width="19.421875" style="94" customWidth="1"/>
    <col min="4" max="6" width="15.28125" style="94" customWidth="1"/>
    <col min="7" max="7" width="11.421875" style="71" customWidth="1"/>
    <col min="8" max="8" width="25.7109375" style="77" customWidth="1"/>
    <col min="9" max="9" width="14.8515625" style="77" customWidth="1"/>
    <col min="10" max="10" width="16.7109375" style="77" customWidth="1"/>
    <col min="11" max="11" width="18.7109375" style="77" customWidth="1"/>
    <col min="12" max="12" width="13.7109375" style="77" customWidth="1"/>
    <col min="13" max="13" width="13.7109375" style="77" hidden="1" customWidth="1"/>
    <col min="14" max="14" width="13.421875" style="77" customWidth="1"/>
    <col min="15" max="61" width="11.421875" style="55" customWidth="1"/>
  </cols>
  <sheetData>
    <row r="1" spans="1:61" s="75" customFormat="1" ht="37.5" customHeight="1" thickBot="1">
      <c r="A1" s="613" t="s">
        <v>13</v>
      </c>
      <c r="B1" s="614"/>
      <c r="C1" s="613"/>
      <c r="D1" s="613"/>
      <c r="E1" s="613"/>
      <c r="F1" s="613"/>
      <c r="G1" s="72"/>
      <c r="H1" s="73"/>
      <c r="I1" s="73"/>
      <c r="J1" s="73"/>
      <c r="K1" s="73"/>
      <c r="L1" s="73"/>
      <c r="M1" s="73"/>
      <c r="N1" s="73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13" ht="15" customHeight="1" thickTop="1">
      <c r="A2" s="152" t="s">
        <v>2</v>
      </c>
      <c r="B2" s="76" t="s">
        <v>24</v>
      </c>
      <c r="C2" s="76" t="s">
        <v>22</v>
      </c>
      <c r="D2" s="76" t="s">
        <v>215</v>
      </c>
      <c r="E2" s="76" t="s">
        <v>24</v>
      </c>
      <c r="F2" s="128" t="s">
        <v>215</v>
      </c>
      <c r="H2" s="44"/>
      <c r="I2" s="44"/>
      <c r="J2" s="44"/>
      <c r="K2" s="44"/>
      <c r="L2" s="44"/>
      <c r="M2" s="44"/>
    </row>
    <row r="3" spans="1:13" ht="15">
      <c r="A3" s="78" t="s">
        <v>1</v>
      </c>
      <c r="B3" s="116" t="s">
        <v>105</v>
      </c>
      <c r="C3" s="116" t="s">
        <v>115</v>
      </c>
      <c r="D3" s="126" t="s">
        <v>216</v>
      </c>
      <c r="E3" s="116" t="s">
        <v>105</v>
      </c>
      <c r="F3" s="80" t="s">
        <v>217</v>
      </c>
      <c r="H3" s="44"/>
      <c r="I3" s="44"/>
      <c r="J3" s="44"/>
      <c r="K3" s="44"/>
      <c r="L3" s="44"/>
      <c r="M3" s="44"/>
    </row>
    <row r="4" spans="1:13" ht="18" customHeight="1">
      <c r="A4" s="157">
        <v>0</v>
      </c>
      <c r="B4" s="127">
        <v>2012</v>
      </c>
      <c r="C4" s="127">
        <v>2012</v>
      </c>
      <c r="D4" s="162">
        <v>0</v>
      </c>
      <c r="E4" s="127">
        <v>2013</v>
      </c>
      <c r="F4" s="165">
        <v>0</v>
      </c>
      <c r="H4" s="44"/>
      <c r="I4" s="44"/>
      <c r="J4" s="44"/>
      <c r="K4" s="44"/>
      <c r="L4" s="44"/>
      <c r="M4" s="44"/>
    </row>
    <row r="5" spans="1:61" s="85" customFormat="1" ht="25.5" customHeight="1">
      <c r="A5" s="153" t="s">
        <v>16</v>
      </c>
      <c r="B5" s="158">
        <v>0</v>
      </c>
      <c r="C5" s="159">
        <v>0</v>
      </c>
      <c r="D5" s="160">
        <v>0</v>
      </c>
      <c r="E5" s="130" t="s">
        <v>102</v>
      </c>
      <c r="F5" s="161">
        <v>0</v>
      </c>
      <c r="G5" s="56"/>
      <c r="H5" s="81"/>
      <c r="I5" s="44"/>
      <c r="J5" s="81"/>
      <c r="K5" s="81"/>
      <c r="L5" s="81"/>
      <c r="M5" s="82"/>
      <c r="N5" s="83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</row>
    <row r="6" spans="1:61" s="85" customFormat="1" ht="24" customHeight="1">
      <c r="A6" s="108" t="s">
        <v>21</v>
      </c>
      <c r="B6" s="196">
        <v>-81781.99300000072</v>
      </c>
      <c r="C6" s="196">
        <v>105626.64999999851</v>
      </c>
      <c r="D6" s="197">
        <v>187408.64299999923</v>
      </c>
      <c r="E6" s="198">
        <v>17567.38899999857</v>
      </c>
      <c r="F6" s="199">
        <v>-88059.26099999994</v>
      </c>
      <c r="G6" s="56"/>
      <c r="H6" s="87"/>
      <c r="I6" s="88"/>
      <c r="J6" s="88"/>
      <c r="K6" s="88"/>
      <c r="L6" s="67"/>
      <c r="M6" s="82"/>
      <c r="N6" s="83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</row>
    <row r="7" spans="1:61" s="85" customFormat="1" ht="24" customHeight="1">
      <c r="A7" s="103" t="s">
        <v>101</v>
      </c>
      <c r="B7" s="104">
        <v>17364.25346999988</v>
      </c>
      <c r="C7" s="104">
        <v>-188921.67879999988</v>
      </c>
      <c r="D7" s="104">
        <v>-206285.93226999976</v>
      </c>
      <c r="E7" s="117">
        <v>9175.487879998982</v>
      </c>
      <c r="F7" s="200">
        <v>198097.16667999886</v>
      </c>
      <c r="G7" s="56"/>
      <c r="H7" s="87"/>
      <c r="I7" s="88"/>
      <c r="J7" s="88"/>
      <c r="K7" s="88"/>
      <c r="L7" s="64"/>
      <c r="M7" s="82"/>
      <c r="N7" s="83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</row>
    <row r="8" spans="1:61" s="85" customFormat="1" ht="24" customHeight="1">
      <c r="A8" s="103" t="s">
        <v>104</v>
      </c>
      <c r="B8" s="104">
        <v>-6703.722110000439</v>
      </c>
      <c r="C8" s="104">
        <v>-57390.922699999996</v>
      </c>
      <c r="D8" s="104">
        <v>-50687.20058999956</v>
      </c>
      <c r="E8" s="201">
        <v>-11123.494000000414</v>
      </c>
      <c r="F8" s="202">
        <v>46267.42869999958</v>
      </c>
      <c r="G8" s="56"/>
      <c r="H8" s="87"/>
      <c r="I8" s="88"/>
      <c r="J8" s="88"/>
      <c r="K8" s="88"/>
      <c r="L8" s="67"/>
      <c r="M8" s="82"/>
      <c r="N8" s="83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</row>
    <row r="9" spans="1:61" s="85" customFormat="1" ht="24" customHeight="1">
      <c r="A9" s="103" t="s">
        <v>106</v>
      </c>
      <c r="B9" s="104">
        <v>2599.0109999999404</v>
      </c>
      <c r="C9" s="104">
        <v>4634.964000000036</v>
      </c>
      <c r="D9" s="104">
        <v>2035.953000000096</v>
      </c>
      <c r="E9" s="201">
        <v>5344.679000000062</v>
      </c>
      <c r="F9" s="200">
        <v>709.7150000000256</v>
      </c>
      <c r="G9" s="56"/>
      <c r="H9" s="87"/>
      <c r="I9" s="88"/>
      <c r="J9" s="88"/>
      <c r="K9" s="88"/>
      <c r="L9" s="67"/>
      <c r="M9" s="82"/>
      <c r="N9" s="83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</row>
    <row r="10" spans="1:61" s="85" customFormat="1" ht="24" customHeight="1">
      <c r="A10" s="103" t="s">
        <v>107</v>
      </c>
      <c r="B10" s="104">
        <v>-92963.49999999977</v>
      </c>
      <c r="C10" s="104">
        <v>-94820</v>
      </c>
      <c r="D10" s="104">
        <v>-1856.5000000002328</v>
      </c>
      <c r="E10" s="118">
        <v>-100668</v>
      </c>
      <c r="F10" s="202">
        <v>-5848</v>
      </c>
      <c r="G10" s="56"/>
      <c r="H10" s="87"/>
      <c r="I10" s="88"/>
      <c r="J10" s="88"/>
      <c r="K10" s="88"/>
      <c r="L10" s="67"/>
      <c r="M10" s="82"/>
      <c r="N10" s="83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</row>
    <row r="11" spans="1:61" s="85" customFormat="1" ht="24" customHeight="1">
      <c r="A11" s="103" t="s">
        <v>108</v>
      </c>
      <c r="B11" s="104">
        <v>-1991</v>
      </c>
      <c r="C11" s="104">
        <v>-2194</v>
      </c>
      <c r="D11" s="104">
        <v>-203</v>
      </c>
      <c r="E11" s="118">
        <v>-1965</v>
      </c>
      <c r="F11" s="200">
        <v>229</v>
      </c>
      <c r="G11" s="56"/>
      <c r="H11" s="87"/>
      <c r="I11" s="88"/>
      <c r="J11" s="88"/>
      <c r="K11" s="88"/>
      <c r="L11" s="67"/>
      <c r="M11" s="82"/>
      <c r="N11" s="83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</row>
    <row r="12" spans="1:61" s="85" customFormat="1" ht="24" customHeight="1">
      <c r="A12" s="103" t="s">
        <v>109</v>
      </c>
      <c r="B12" s="203">
        <v>-444.1000000000349</v>
      </c>
      <c r="C12" s="203">
        <v>162.85000000003492</v>
      </c>
      <c r="D12" s="104">
        <v>606.9500000000698</v>
      </c>
      <c r="E12" s="201">
        <v>-400.20000000006985</v>
      </c>
      <c r="F12" s="202">
        <v>-563.0500000001048</v>
      </c>
      <c r="G12" s="56"/>
      <c r="H12" s="87"/>
      <c r="I12" s="88"/>
      <c r="J12" s="88"/>
      <c r="K12" s="88"/>
      <c r="L12" s="67"/>
      <c r="M12" s="82"/>
      <c r="N12" s="83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</row>
    <row r="13" spans="1:61" s="85" customFormat="1" ht="24" customHeight="1">
      <c r="A13" s="103" t="s">
        <v>110</v>
      </c>
      <c r="B13" s="104">
        <v>-3159.9000000000815</v>
      </c>
      <c r="C13" s="104">
        <v>706.2999999999884</v>
      </c>
      <c r="D13" s="104">
        <v>3866.20000000007</v>
      </c>
      <c r="E13" s="201">
        <v>-658.6999999999534</v>
      </c>
      <c r="F13" s="200">
        <v>-1364.9999999999418</v>
      </c>
      <c r="G13" s="56"/>
      <c r="H13" s="87"/>
      <c r="I13" s="88"/>
      <c r="J13" s="88"/>
      <c r="K13" s="88"/>
      <c r="L13" s="67"/>
      <c r="M13" s="82"/>
      <c r="N13" s="83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</row>
    <row r="14" spans="1:61" s="85" customFormat="1" ht="24" customHeight="1">
      <c r="A14" s="103" t="s">
        <v>111</v>
      </c>
      <c r="B14" s="104">
        <v>-3799.350000000093</v>
      </c>
      <c r="C14" s="104">
        <v>6037.666999999899</v>
      </c>
      <c r="D14" s="104">
        <v>9837.016999999993</v>
      </c>
      <c r="E14" s="201">
        <v>-24843.70499999984</v>
      </c>
      <c r="F14" s="202">
        <v>-30881.37199999974</v>
      </c>
      <c r="G14" s="56"/>
      <c r="H14" s="87"/>
      <c r="I14" s="88"/>
      <c r="J14" s="88"/>
      <c r="K14" s="88"/>
      <c r="L14" s="67"/>
      <c r="M14" s="82"/>
      <c r="N14" s="83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</row>
    <row r="15" spans="1:61" s="85" customFormat="1" ht="24" customHeight="1">
      <c r="A15" s="103" t="s">
        <v>114</v>
      </c>
      <c r="B15" s="203">
        <v>1011</v>
      </c>
      <c r="C15" s="203">
        <v>10576.80000000028</v>
      </c>
      <c r="D15" s="104">
        <v>9565.80000000028</v>
      </c>
      <c r="E15" s="201">
        <v>497.90000000037253</v>
      </c>
      <c r="F15" s="200">
        <v>-10078.899999999907</v>
      </c>
      <c r="G15" s="56"/>
      <c r="H15" s="87"/>
      <c r="I15" s="88"/>
      <c r="J15" s="88"/>
      <c r="K15" s="88"/>
      <c r="L15" s="67"/>
      <c r="M15" s="82"/>
      <c r="N15" s="83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</row>
    <row r="16" spans="1:61" s="85" customFormat="1" ht="24" customHeight="1">
      <c r="A16" s="103" t="s">
        <v>159</v>
      </c>
      <c r="B16" s="104">
        <v>-110594.62900000019</v>
      </c>
      <c r="C16" s="104">
        <v>-111391.19399999967</v>
      </c>
      <c r="D16" s="104">
        <v>-796.5649999994785</v>
      </c>
      <c r="E16" s="204">
        <v>-146119.19999999972</v>
      </c>
      <c r="F16" s="202">
        <v>-34728.00600000005</v>
      </c>
      <c r="G16" s="56"/>
      <c r="H16" s="87"/>
      <c r="I16" s="88"/>
      <c r="J16" s="88"/>
      <c r="K16" s="88"/>
      <c r="L16" s="64"/>
      <c r="M16" s="82"/>
      <c r="N16" s="83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</row>
    <row r="17" spans="1:61" s="85" customFormat="1" ht="24" customHeight="1">
      <c r="A17" s="103" t="s">
        <v>162</v>
      </c>
      <c r="B17" s="104">
        <v>77829.54499999993</v>
      </c>
      <c r="C17" s="104">
        <v>183013.78399999905</v>
      </c>
      <c r="D17" s="104">
        <v>105184.23899999913</v>
      </c>
      <c r="E17" s="117">
        <v>7733.043000000063</v>
      </c>
      <c r="F17" s="200">
        <v>-175280.740999999</v>
      </c>
      <c r="G17" s="56"/>
      <c r="H17" s="87"/>
      <c r="I17" s="88"/>
      <c r="J17" s="88"/>
      <c r="K17" s="88"/>
      <c r="L17" s="64"/>
      <c r="M17" s="82"/>
      <c r="N17" s="83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</row>
    <row r="18" spans="1:61" s="85" customFormat="1" ht="24" customHeight="1">
      <c r="A18" s="103" t="s">
        <v>163</v>
      </c>
      <c r="B18" s="203">
        <v>-28720.200000000186</v>
      </c>
      <c r="C18" s="203">
        <v>-32252.999999999534</v>
      </c>
      <c r="D18" s="104">
        <v>-3532.799999999348</v>
      </c>
      <c r="E18" s="201">
        <v>-24756.976000000257</v>
      </c>
      <c r="F18" s="202">
        <v>7496.023999999277</v>
      </c>
      <c r="G18" s="56"/>
      <c r="H18" s="87"/>
      <c r="I18" s="88"/>
      <c r="J18" s="88"/>
      <c r="K18" s="88"/>
      <c r="L18" s="67"/>
      <c r="M18" s="82"/>
      <c r="N18" s="83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</row>
    <row r="19" spans="1:61" s="85" customFormat="1" ht="24" customHeight="1">
      <c r="A19" s="103" t="s">
        <v>164</v>
      </c>
      <c r="B19" s="104">
        <v>-35881.29999999993</v>
      </c>
      <c r="C19" s="104">
        <v>-29894.58577000012</v>
      </c>
      <c r="D19" s="104">
        <v>5986.714229999809</v>
      </c>
      <c r="E19" s="118">
        <v>-23626.699999999953</v>
      </c>
      <c r="F19" s="200">
        <v>6267.885770000168</v>
      </c>
      <c r="G19" s="56"/>
      <c r="H19" s="87"/>
      <c r="I19" s="88"/>
      <c r="J19" s="88"/>
      <c r="K19" s="88"/>
      <c r="L19" s="67"/>
      <c r="M19" s="82"/>
      <c r="N19" s="83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</row>
    <row r="20" spans="1:61" s="85" customFormat="1" ht="24" customHeight="1">
      <c r="A20" s="103" t="s">
        <v>165</v>
      </c>
      <c r="B20" s="104">
        <v>-13196.399999999965</v>
      </c>
      <c r="C20" s="104">
        <v>-21938.199999999895</v>
      </c>
      <c r="D20" s="104">
        <v>-8741.79999999993</v>
      </c>
      <c r="E20" s="118">
        <v>-17220</v>
      </c>
      <c r="F20" s="202">
        <v>4718.199999999895</v>
      </c>
      <c r="G20" s="56"/>
      <c r="H20" s="87"/>
      <c r="I20" s="88"/>
      <c r="J20" s="88"/>
      <c r="K20" s="88"/>
      <c r="L20" s="67"/>
      <c r="M20" s="82"/>
      <c r="N20" s="83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</row>
    <row r="21" spans="1:61" s="85" customFormat="1" ht="24" customHeight="1">
      <c r="A21" s="103" t="s">
        <v>166</v>
      </c>
      <c r="B21" s="104">
        <v>-8937</v>
      </c>
      <c r="C21" s="104">
        <v>295.19999999998254</v>
      </c>
      <c r="D21" s="104">
        <v>9232.199999999983</v>
      </c>
      <c r="E21" s="118">
        <v>-7633</v>
      </c>
      <c r="F21" s="200">
        <v>-7928.1999999999825</v>
      </c>
      <c r="G21" s="56"/>
      <c r="H21" s="87"/>
      <c r="I21" s="88"/>
      <c r="J21" s="88"/>
      <c r="K21" s="88"/>
      <c r="L21" s="67"/>
      <c r="M21" s="82"/>
      <c r="N21" s="83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</row>
    <row r="22" spans="1:61" s="85" customFormat="1" ht="24" customHeight="1">
      <c r="A22" s="103" t="s">
        <v>167</v>
      </c>
      <c r="B22" s="104">
        <v>-28411.200000000186</v>
      </c>
      <c r="C22" s="104">
        <v>-5293.199999999255</v>
      </c>
      <c r="D22" s="104">
        <v>23118.00000000093</v>
      </c>
      <c r="E22" s="118">
        <v>-27028.700000000186</v>
      </c>
      <c r="F22" s="202">
        <v>-21735.50000000093</v>
      </c>
      <c r="G22" s="56"/>
      <c r="H22" s="87"/>
      <c r="I22" s="88"/>
      <c r="J22" s="88"/>
      <c r="K22" s="88"/>
      <c r="L22" s="67"/>
      <c r="M22" s="82"/>
      <c r="N22" s="83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</row>
    <row r="23" spans="1:61" s="85" customFormat="1" ht="24" customHeight="1">
      <c r="A23" s="103" t="s">
        <v>168</v>
      </c>
      <c r="B23" s="104">
        <v>-25799</v>
      </c>
      <c r="C23" s="104">
        <v>43748</v>
      </c>
      <c r="D23" s="104">
        <v>69547</v>
      </c>
      <c r="E23" s="118">
        <v>-52514</v>
      </c>
      <c r="F23" s="200">
        <v>-96262</v>
      </c>
      <c r="G23" s="56"/>
      <c r="H23" s="87"/>
      <c r="I23" s="88"/>
      <c r="J23" s="88"/>
      <c r="K23" s="88"/>
      <c r="L23" s="67"/>
      <c r="M23" s="82"/>
      <c r="N23" s="83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</row>
    <row r="24" spans="1:61" s="85" customFormat="1" ht="24" customHeight="1">
      <c r="A24" s="103" t="s">
        <v>169</v>
      </c>
      <c r="B24" s="104">
        <v>-60117.08099999931</v>
      </c>
      <c r="C24" s="104">
        <v>899.7000000001863</v>
      </c>
      <c r="D24" s="104">
        <v>61016.78099999949</v>
      </c>
      <c r="E24" s="118">
        <v>2068.1689999997616</v>
      </c>
      <c r="F24" s="202">
        <v>1168.4689999995753</v>
      </c>
      <c r="G24" s="56"/>
      <c r="H24" s="87"/>
      <c r="I24" s="88"/>
      <c r="J24" s="88"/>
      <c r="K24" s="88"/>
      <c r="L24" s="67"/>
      <c r="M24" s="82"/>
      <c r="N24" s="83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</row>
    <row r="25" spans="1:61" s="85" customFormat="1" ht="24" customHeight="1">
      <c r="A25" s="103" t="s">
        <v>170</v>
      </c>
      <c r="B25" s="104">
        <v>-13540</v>
      </c>
      <c r="C25" s="104">
        <v>-36584</v>
      </c>
      <c r="D25" s="104">
        <v>-23044</v>
      </c>
      <c r="E25" s="201">
        <v>-16012</v>
      </c>
      <c r="F25" s="200">
        <v>20572</v>
      </c>
      <c r="G25" s="56"/>
      <c r="H25" s="87"/>
      <c r="I25" s="88"/>
      <c r="J25" s="88"/>
      <c r="K25" s="88"/>
      <c r="L25" s="67"/>
      <c r="M25" s="82"/>
      <c r="N25" s="83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</row>
    <row r="26" spans="1:61" s="85" customFormat="1" ht="24" customHeight="1">
      <c r="A26" s="103" t="s">
        <v>172</v>
      </c>
      <c r="B26" s="104">
        <v>-220406</v>
      </c>
      <c r="C26" s="104">
        <v>-97585.18385999929</v>
      </c>
      <c r="D26" s="104">
        <v>122820.81614000071</v>
      </c>
      <c r="E26" s="118">
        <v>-165597.28000000073</v>
      </c>
      <c r="F26" s="202">
        <v>-68012.09614000143</v>
      </c>
      <c r="G26" s="56"/>
      <c r="H26" s="87"/>
      <c r="I26" s="88"/>
      <c r="J26" s="88"/>
      <c r="K26" s="88"/>
      <c r="L26" s="67"/>
      <c r="M26" s="82"/>
      <c r="N26" s="83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</row>
    <row r="27" spans="1:61" s="85" customFormat="1" ht="24" customHeight="1">
      <c r="A27" s="103" t="s">
        <v>173</v>
      </c>
      <c r="B27" s="104">
        <v>13121.399999999441</v>
      </c>
      <c r="C27" s="104">
        <v>6449.750000001863</v>
      </c>
      <c r="D27" s="104">
        <v>-6671.649999997579</v>
      </c>
      <c r="E27" s="117">
        <v>1817.0999999977648</v>
      </c>
      <c r="F27" s="200">
        <v>-4632.650000004098</v>
      </c>
      <c r="G27" s="56"/>
      <c r="H27" s="87"/>
      <c r="I27" s="88"/>
      <c r="J27" s="88"/>
      <c r="K27" s="88"/>
      <c r="L27" s="64"/>
      <c r="M27" s="82"/>
      <c r="N27" s="83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</row>
    <row r="28" spans="1:61" s="85" customFormat="1" ht="24" customHeight="1">
      <c r="A28" s="103" t="s">
        <v>176</v>
      </c>
      <c r="B28" s="104">
        <v>2715.0000000004657</v>
      </c>
      <c r="C28" s="104">
        <v>1144.5</v>
      </c>
      <c r="D28" s="104">
        <v>-1570.5000000004657</v>
      </c>
      <c r="E28" s="118">
        <v>6077.4000000003725</v>
      </c>
      <c r="F28" s="202">
        <v>4932.9000000003725</v>
      </c>
      <c r="G28" s="56"/>
      <c r="H28" s="87"/>
      <c r="I28" s="88"/>
      <c r="J28" s="88"/>
      <c r="K28" s="88"/>
      <c r="L28" s="67"/>
      <c r="M28" s="82"/>
      <c r="N28" s="83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</row>
    <row r="29" spans="1:61" s="85" customFormat="1" ht="24" customHeight="1">
      <c r="A29" s="103" t="s">
        <v>177</v>
      </c>
      <c r="B29" s="104">
        <v>-17340.19999999972</v>
      </c>
      <c r="C29" s="104">
        <v>56.01700000045821</v>
      </c>
      <c r="D29" s="104">
        <v>17396.21700000018</v>
      </c>
      <c r="E29" s="118">
        <v>-11531.452000000048</v>
      </c>
      <c r="F29" s="200">
        <v>-11587.469000000507</v>
      </c>
      <c r="G29" s="56"/>
      <c r="H29" s="87"/>
      <c r="I29" s="88"/>
      <c r="J29" s="88"/>
      <c r="K29" s="88"/>
      <c r="L29" s="67"/>
      <c r="M29" s="82"/>
      <c r="N29" s="83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</row>
    <row r="30" spans="1:61" s="85" customFormat="1" ht="24" customHeight="1">
      <c r="A30" s="103" t="s">
        <v>178</v>
      </c>
      <c r="B30" s="104">
        <v>-349228.38499999885</v>
      </c>
      <c r="C30" s="104">
        <v>-459786.4509999994</v>
      </c>
      <c r="D30" s="104">
        <v>-110558.06600000057</v>
      </c>
      <c r="E30" s="117">
        <v>-31590.00399439968</v>
      </c>
      <c r="F30" s="202">
        <v>428196.44700559974</v>
      </c>
      <c r="G30" s="56"/>
      <c r="H30" s="87"/>
      <c r="I30" s="88"/>
      <c r="J30" s="88"/>
      <c r="K30" s="88"/>
      <c r="L30" s="64"/>
      <c r="M30" s="64"/>
      <c r="N30" s="83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</row>
    <row r="31" spans="1:61" s="85" customFormat="1" ht="24" customHeight="1">
      <c r="A31" s="103" t="s">
        <v>186</v>
      </c>
      <c r="B31" s="104">
        <v>-3180.5999999999767</v>
      </c>
      <c r="C31" s="104">
        <v>-7142.964810000034</v>
      </c>
      <c r="D31" s="104">
        <v>-3962.3648100000573</v>
      </c>
      <c r="E31" s="201">
        <v>726.5999999999767</v>
      </c>
      <c r="F31" s="200">
        <v>7869.564810000011</v>
      </c>
      <c r="G31" s="56"/>
      <c r="H31" s="87"/>
      <c r="I31" s="88"/>
      <c r="J31" s="88"/>
      <c r="K31" s="88"/>
      <c r="L31" s="67"/>
      <c r="M31" s="82"/>
      <c r="N31" s="83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</row>
    <row r="32" spans="1:14" s="84" customFormat="1" ht="25.5" customHeight="1">
      <c r="A32" s="108" t="s">
        <v>189</v>
      </c>
      <c r="B32" s="205">
        <v>-991555.3506399997</v>
      </c>
      <c r="C32" s="205">
        <v>-781843.1989399968</v>
      </c>
      <c r="D32" s="205">
        <v>209712.15170000296</v>
      </c>
      <c r="E32" s="205">
        <v>-612280.6431144049</v>
      </c>
      <c r="F32" s="206">
        <v>169562.5558255919</v>
      </c>
      <c r="G32" s="83"/>
      <c r="H32" s="81"/>
      <c r="I32" s="88"/>
      <c r="J32" s="88"/>
      <c r="K32" s="88"/>
      <c r="L32" s="67"/>
      <c r="M32" s="82"/>
      <c r="N32" s="83"/>
    </row>
    <row r="33" spans="1:14" s="84" customFormat="1" ht="12" customHeight="1" thickBot="1">
      <c r="A33" s="105"/>
      <c r="B33" s="106"/>
      <c r="C33" s="106"/>
      <c r="D33" s="106"/>
      <c r="E33" s="106"/>
      <c r="F33" s="107"/>
      <c r="G33" s="83"/>
      <c r="H33" s="89"/>
      <c r="I33" s="81"/>
      <c r="J33" s="81"/>
      <c r="K33" s="81"/>
      <c r="L33" s="81"/>
      <c r="M33" s="82"/>
      <c r="N33" s="83"/>
    </row>
    <row r="34" spans="1:13" ht="15.75" thickTop="1">
      <c r="A34" s="207" t="s">
        <v>218</v>
      </c>
      <c r="B34" s="86"/>
      <c r="C34" s="86"/>
      <c r="D34" s="86"/>
      <c r="E34" s="86"/>
      <c r="F34" s="155"/>
      <c r="I34" s="81"/>
      <c r="J34" s="81"/>
      <c r="K34" s="81"/>
      <c r="L34" s="81"/>
      <c r="M34" s="81"/>
    </row>
    <row r="35" spans="1:13" ht="15">
      <c r="A35" s="84"/>
      <c r="B35" s="86"/>
      <c r="C35" s="86"/>
      <c r="D35" s="86"/>
      <c r="E35" s="86"/>
      <c r="F35" s="155"/>
      <c r="I35" s="49"/>
      <c r="J35" s="49"/>
      <c r="K35" s="49"/>
      <c r="L35" s="49"/>
      <c r="M35" s="49"/>
    </row>
    <row r="36" spans="1:8" ht="12.75">
      <c r="A36" s="93"/>
      <c r="B36" s="92"/>
      <c r="C36" s="92"/>
      <c r="D36" s="92"/>
      <c r="E36" s="92"/>
      <c r="F36" s="92"/>
      <c r="H36" s="49"/>
    </row>
    <row r="37" spans="1:6" ht="12.75">
      <c r="A37" s="93"/>
      <c r="B37" s="92"/>
      <c r="C37" s="92"/>
      <c r="D37" s="92"/>
      <c r="E37" s="92"/>
      <c r="F37" s="92"/>
    </row>
    <row r="38" spans="1:6" ht="12.75">
      <c r="A38" s="93"/>
      <c r="B38" s="92"/>
      <c r="C38" s="92"/>
      <c r="D38" s="92"/>
      <c r="E38" s="92"/>
      <c r="F38" s="92"/>
    </row>
    <row r="39" spans="1:6" ht="12.75">
      <c r="A39" s="93"/>
      <c r="B39" s="92"/>
      <c r="C39" s="92"/>
      <c r="D39" s="92"/>
      <c r="E39" s="92"/>
      <c r="F39" s="92"/>
    </row>
    <row r="40" spans="1:6" ht="12.75">
      <c r="A40" s="93"/>
      <c r="B40" s="92"/>
      <c r="C40" s="92"/>
      <c r="D40" s="92"/>
      <c r="E40" s="92"/>
      <c r="F40" s="92"/>
    </row>
    <row r="41" spans="1:6" ht="12.75">
      <c r="A41" s="93"/>
      <c r="B41" s="92"/>
      <c r="C41" s="92"/>
      <c r="D41" s="92"/>
      <c r="E41" s="92"/>
      <c r="F41" s="92"/>
    </row>
    <row r="42" spans="2:6" ht="12.75">
      <c r="B42" s="92"/>
      <c r="C42" s="92"/>
      <c r="D42" s="92"/>
      <c r="E42" s="92"/>
      <c r="F42" s="92"/>
    </row>
    <row r="43" spans="1:6" ht="12.75">
      <c r="A43" s="93"/>
      <c r="B43" s="92"/>
      <c r="C43" s="92"/>
      <c r="D43" s="92"/>
      <c r="E43" s="92"/>
      <c r="F43" s="92"/>
    </row>
    <row r="44" spans="2:8" ht="12.75">
      <c r="B44" s="92"/>
      <c r="C44" s="92"/>
      <c r="D44" s="92"/>
      <c r="E44" s="92"/>
      <c r="F44" s="92"/>
      <c r="H44" s="49"/>
    </row>
    <row r="45" spans="2:8" ht="12.75">
      <c r="B45" s="92"/>
      <c r="C45" s="92"/>
      <c r="D45" s="92"/>
      <c r="E45" s="92"/>
      <c r="F45" s="92"/>
      <c r="H45" s="49"/>
    </row>
    <row r="46" spans="2:8" ht="12.75">
      <c r="B46" s="92"/>
      <c r="C46" s="92"/>
      <c r="D46" s="92"/>
      <c r="E46" s="92"/>
      <c r="F46" s="92"/>
      <c r="H46" s="49"/>
    </row>
    <row r="47" spans="2:6" ht="12.75">
      <c r="B47" s="92"/>
      <c r="C47" s="92"/>
      <c r="D47" s="92"/>
      <c r="E47" s="92"/>
      <c r="F47" s="92"/>
    </row>
    <row r="48" spans="2:6" ht="12.75">
      <c r="B48" s="92"/>
      <c r="C48" s="92"/>
      <c r="D48" s="92"/>
      <c r="E48" s="92"/>
      <c r="F48" s="92"/>
    </row>
    <row r="49" spans="1:6" ht="12.75">
      <c r="A49" s="93"/>
      <c r="B49" s="92"/>
      <c r="C49" s="92"/>
      <c r="D49" s="92"/>
      <c r="E49" s="92"/>
      <c r="F49" s="92"/>
    </row>
    <row r="50" spans="1:6" ht="12.75">
      <c r="A50" s="93"/>
      <c r="B50" s="92"/>
      <c r="C50" s="92"/>
      <c r="D50" s="92"/>
      <c r="E50" s="92"/>
      <c r="F50" s="92"/>
    </row>
    <row r="51" spans="1:6" ht="12.75">
      <c r="A51" s="93"/>
      <c r="B51" s="92"/>
      <c r="C51" s="92"/>
      <c r="D51" s="92"/>
      <c r="E51" s="92"/>
      <c r="F51" s="92"/>
    </row>
    <row r="52" spans="2:6" ht="12.75">
      <c r="B52" s="92"/>
      <c r="C52" s="92"/>
      <c r="D52" s="92"/>
      <c r="E52" s="92"/>
      <c r="F52" s="92"/>
    </row>
    <row r="53" spans="2:6" ht="12.75">
      <c r="B53" s="92"/>
      <c r="C53" s="92"/>
      <c r="D53" s="92"/>
      <c r="E53" s="92"/>
      <c r="F53" s="92"/>
    </row>
    <row r="54" spans="2:6" ht="12.75">
      <c r="B54" s="92"/>
      <c r="C54" s="92"/>
      <c r="D54" s="92"/>
      <c r="E54" s="92"/>
      <c r="F54" s="92"/>
    </row>
    <row r="55" spans="2:6" ht="12.75">
      <c r="B55" s="92"/>
      <c r="C55" s="92"/>
      <c r="D55" s="92"/>
      <c r="E55" s="92"/>
      <c r="F55" s="92"/>
    </row>
    <row r="56" spans="2:6" ht="12.75">
      <c r="B56" s="92"/>
      <c r="C56" s="92"/>
      <c r="D56" s="92"/>
      <c r="E56" s="92"/>
      <c r="F56" s="92"/>
    </row>
    <row r="57" spans="2:6" ht="12.75">
      <c r="B57" s="92"/>
      <c r="C57" s="92"/>
      <c r="D57" s="92"/>
      <c r="E57" s="92"/>
      <c r="F57" s="92"/>
    </row>
    <row r="58" spans="2:6" ht="12.75">
      <c r="B58" s="92"/>
      <c r="C58" s="92"/>
      <c r="D58" s="92"/>
      <c r="E58" s="92"/>
      <c r="F58" s="92"/>
    </row>
    <row r="59" spans="2:6" ht="12.75">
      <c r="B59" s="92"/>
      <c r="C59" s="92"/>
      <c r="D59" s="92"/>
      <c r="E59" s="92"/>
      <c r="F59" s="92"/>
    </row>
    <row r="60" spans="2:6" ht="12.75">
      <c r="B60" s="92"/>
      <c r="C60" s="92"/>
      <c r="D60" s="92"/>
      <c r="E60" s="92"/>
      <c r="F60" s="92"/>
    </row>
    <row r="61" spans="2:6" ht="12.75">
      <c r="B61" s="92"/>
      <c r="C61" s="92"/>
      <c r="D61" s="92"/>
      <c r="E61" s="92"/>
      <c r="F61" s="92"/>
    </row>
    <row r="62" spans="1:6" ht="12.75">
      <c r="A62" s="93"/>
      <c r="B62" s="92"/>
      <c r="C62" s="92"/>
      <c r="D62" s="92"/>
      <c r="E62" s="92"/>
      <c r="F62" s="92"/>
    </row>
  </sheetData>
  <sheetProtection/>
  <mergeCells count="1">
    <mergeCell ref="A1:F1"/>
  </mergeCells>
  <printOptions/>
  <pageMargins left="0.6692913385826772" right="0.5511811023622047" top="0.984251968503937" bottom="0.75" header="0.5118110236220472" footer="0.4724409448818898"/>
  <pageSetup horizontalDpi="300" verticalDpi="300" orientation="portrait" paperSize="9" scale="92" r:id="rId1"/>
  <headerFooter alignWithMargins="0">
    <oddHeader>&amp;LFachgruppe für kantonale Finanzfragen (FkF)
Groupe d'étude pour les finances cantonales&amp;RZürich, 12.9.2013</oddHeader>
    <oddFooter>&amp;LQuelle/Source: FkF Sept. 2013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BI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90" customWidth="1"/>
    <col min="2" max="4" width="15.28125" style="94" customWidth="1"/>
    <col min="5" max="5" width="15.28125" style="100" customWidth="1"/>
    <col min="6" max="6" width="15.8515625" style="94" customWidth="1"/>
    <col min="7" max="7" width="11.421875" style="71" customWidth="1"/>
    <col min="8" max="8" width="25.7109375" style="98" customWidth="1"/>
    <col min="9" max="9" width="14.8515625" style="77" customWidth="1"/>
    <col min="10" max="10" width="16.7109375" style="77" customWidth="1"/>
    <col min="11" max="11" width="18.7109375" style="77" customWidth="1"/>
    <col min="12" max="12" width="13.7109375" style="77" customWidth="1"/>
    <col min="13" max="13" width="13.7109375" style="77" hidden="1" customWidth="1"/>
    <col min="14" max="14" width="13.421875" style="77" customWidth="1"/>
    <col min="15" max="61" width="11.421875" style="55" customWidth="1"/>
  </cols>
  <sheetData>
    <row r="1" spans="1:61" s="75" customFormat="1" ht="36" customHeight="1" thickBot="1">
      <c r="A1" s="613" t="s">
        <v>14</v>
      </c>
      <c r="B1" s="614"/>
      <c r="C1" s="613"/>
      <c r="D1" s="613"/>
      <c r="E1" s="613"/>
      <c r="F1" s="613"/>
      <c r="G1" s="72"/>
      <c r="H1" s="95"/>
      <c r="I1" s="73"/>
      <c r="J1" s="73"/>
      <c r="K1" s="73"/>
      <c r="L1" s="73"/>
      <c r="M1" s="73"/>
      <c r="N1" s="73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13" ht="15" customHeight="1" thickTop="1">
      <c r="A2" s="152" t="s">
        <v>2</v>
      </c>
      <c r="B2" s="76" t="s">
        <v>24</v>
      </c>
      <c r="C2" s="76" t="s">
        <v>22</v>
      </c>
      <c r="D2" s="76" t="s">
        <v>215</v>
      </c>
      <c r="E2" s="76" t="s">
        <v>24</v>
      </c>
      <c r="F2" s="128" t="s">
        <v>215</v>
      </c>
      <c r="H2" s="79"/>
      <c r="I2" s="44"/>
      <c r="J2" s="44"/>
      <c r="K2" s="44"/>
      <c r="L2" s="44"/>
      <c r="M2" s="44"/>
    </row>
    <row r="3" spans="1:13" ht="15">
      <c r="A3" s="78" t="s">
        <v>1</v>
      </c>
      <c r="B3" s="116" t="s">
        <v>105</v>
      </c>
      <c r="C3" s="116" t="s">
        <v>115</v>
      </c>
      <c r="D3" s="126" t="s">
        <v>216</v>
      </c>
      <c r="E3" s="116" t="s">
        <v>105</v>
      </c>
      <c r="F3" s="80" t="s">
        <v>217</v>
      </c>
      <c r="H3" s="79"/>
      <c r="I3" s="44"/>
      <c r="J3" s="44"/>
      <c r="K3" s="44"/>
      <c r="L3" s="44"/>
      <c r="M3" s="44"/>
    </row>
    <row r="4" spans="1:13" ht="12.75">
      <c r="A4" s="157">
        <v>0</v>
      </c>
      <c r="B4" s="127">
        <v>2012</v>
      </c>
      <c r="C4" s="127">
        <v>2012</v>
      </c>
      <c r="D4" s="162">
        <v>0</v>
      </c>
      <c r="E4" s="127">
        <v>2013</v>
      </c>
      <c r="F4" s="165">
        <v>0</v>
      </c>
      <c r="H4" s="79"/>
      <c r="I4" s="44"/>
      <c r="J4" s="44"/>
      <c r="K4" s="44"/>
      <c r="L4" s="44"/>
      <c r="M4" s="44"/>
    </row>
    <row r="5" spans="1:61" s="85" customFormat="1" ht="28.5" customHeight="1">
      <c r="A5" s="156" t="s">
        <v>16</v>
      </c>
      <c r="B5" s="163">
        <v>0</v>
      </c>
      <c r="C5" s="164">
        <v>0</v>
      </c>
      <c r="D5" s="160">
        <v>0</v>
      </c>
      <c r="E5" s="85" t="s">
        <v>102</v>
      </c>
      <c r="F5" s="161">
        <v>0</v>
      </c>
      <c r="G5" s="56"/>
      <c r="H5" s="86"/>
      <c r="I5" s="44"/>
      <c r="J5" s="81"/>
      <c r="K5" s="81"/>
      <c r="L5" s="81"/>
      <c r="M5" s="82"/>
      <c r="N5" s="83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</row>
    <row r="6" spans="1:61" s="85" customFormat="1" ht="24" customHeight="1">
      <c r="A6" s="108" t="s">
        <v>21</v>
      </c>
      <c r="B6" s="196">
        <v>-624650.6560000014</v>
      </c>
      <c r="C6" s="196">
        <v>193234.90999999852</v>
      </c>
      <c r="D6" s="197">
        <v>817885.5659999999</v>
      </c>
      <c r="E6" s="198">
        <v>-211305.644000003</v>
      </c>
      <c r="F6" s="120">
        <v>404540.5540000015</v>
      </c>
      <c r="G6" s="56"/>
      <c r="H6" s="86"/>
      <c r="I6" s="88"/>
      <c r="J6" s="88"/>
      <c r="K6" s="88"/>
      <c r="L6" s="67"/>
      <c r="M6" s="82"/>
      <c r="N6" s="83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</row>
    <row r="7" spans="1:61" s="85" customFormat="1" ht="24" customHeight="1">
      <c r="A7" s="103" t="s">
        <v>101</v>
      </c>
      <c r="B7" s="104">
        <v>46856.20698999998</v>
      </c>
      <c r="C7" s="104">
        <v>-429572.74155999994</v>
      </c>
      <c r="D7" s="104">
        <v>476428.9485499999</v>
      </c>
      <c r="E7" s="198">
        <v>51640.732349999016</v>
      </c>
      <c r="F7" s="121">
        <v>-481213.47390999895</v>
      </c>
      <c r="G7" s="56"/>
      <c r="H7" s="86"/>
      <c r="I7" s="88"/>
      <c r="J7" s="88"/>
      <c r="K7" s="88"/>
      <c r="L7" s="64"/>
      <c r="M7" s="82"/>
      <c r="N7" s="83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</row>
    <row r="8" spans="1:61" s="85" customFormat="1" ht="24" customHeight="1">
      <c r="A8" s="103" t="s">
        <v>104</v>
      </c>
      <c r="B8" s="104">
        <v>-27159.959160000086</v>
      </c>
      <c r="C8" s="104">
        <v>-59790.49188999974</v>
      </c>
      <c r="D8" s="104">
        <v>32630.532729999657</v>
      </c>
      <c r="E8" s="198">
        <v>-12084.356000000262</v>
      </c>
      <c r="F8" s="119">
        <v>-47706.13588999948</v>
      </c>
      <c r="G8" s="56"/>
      <c r="H8" s="86"/>
      <c r="I8" s="88"/>
      <c r="J8" s="88"/>
      <c r="K8" s="88"/>
      <c r="L8" s="67"/>
      <c r="M8" s="82"/>
      <c r="N8" s="83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</row>
    <row r="9" spans="1:61" s="85" customFormat="1" ht="24" customHeight="1">
      <c r="A9" s="103" t="s">
        <v>106</v>
      </c>
      <c r="B9" s="104">
        <v>-13075.668999999947</v>
      </c>
      <c r="C9" s="104">
        <v>-3264.6699999999546</v>
      </c>
      <c r="D9" s="104">
        <v>-9810.998999999993</v>
      </c>
      <c r="E9" s="198">
        <v>-12260.516999999974</v>
      </c>
      <c r="F9" s="121">
        <v>8995.84700000002</v>
      </c>
      <c r="G9" s="56"/>
      <c r="H9" s="86"/>
      <c r="I9" s="88"/>
      <c r="J9" s="88"/>
      <c r="K9" s="88"/>
      <c r="L9" s="67"/>
      <c r="M9" s="82"/>
      <c r="N9" s="83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</row>
    <row r="10" spans="1:61" s="85" customFormat="1" ht="24" customHeight="1">
      <c r="A10" s="103" t="s">
        <v>107</v>
      </c>
      <c r="B10" s="104">
        <v>-94885.29999999977</v>
      </c>
      <c r="C10" s="104">
        <v>-77420</v>
      </c>
      <c r="D10" s="104">
        <v>-17465.29999999977</v>
      </c>
      <c r="E10" s="198">
        <v>-109053</v>
      </c>
      <c r="F10" s="119">
        <v>31633</v>
      </c>
      <c r="G10" s="56"/>
      <c r="H10" s="86"/>
      <c r="I10" s="88"/>
      <c r="J10" s="88"/>
      <c r="K10" s="88"/>
      <c r="L10" s="67"/>
      <c r="M10" s="82"/>
      <c r="N10" s="83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</row>
    <row r="11" spans="1:61" s="85" customFormat="1" ht="24" customHeight="1">
      <c r="A11" s="103" t="s">
        <v>108</v>
      </c>
      <c r="B11" s="104">
        <v>-26379</v>
      </c>
      <c r="C11" s="104">
        <v>-15574</v>
      </c>
      <c r="D11" s="104">
        <v>-10805</v>
      </c>
      <c r="E11" s="198">
        <v>-26661</v>
      </c>
      <c r="F11" s="121">
        <v>11087</v>
      </c>
      <c r="G11" s="56"/>
      <c r="H11" s="86"/>
      <c r="I11" s="88"/>
      <c r="J11" s="88"/>
      <c r="K11" s="88"/>
      <c r="L11" s="67"/>
      <c r="M11" s="82"/>
      <c r="N11" s="83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</row>
    <row r="12" spans="1:61" s="85" customFormat="1" ht="24" customHeight="1">
      <c r="A12" s="103" t="s">
        <v>109</v>
      </c>
      <c r="B12" s="203">
        <v>-15415.500000000036</v>
      </c>
      <c r="C12" s="203">
        <v>-8255.499999999953</v>
      </c>
      <c r="D12" s="104">
        <v>-7160.000000000084</v>
      </c>
      <c r="E12" s="198">
        <v>-9631.500000000051</v>
      </c>
      <c r="F12" s="119">
        <v>1376.0000000000982</v>
      </c>
      <c r="G12" s="56"/>
      <c r="H12" s="86"/>
      <c r="I12" s="88"/>
      <c r="J12" s="88"/>
      <c r="K12" s="88"/>
      <c r="L12" s="67"/>
      <c r="M12" s="82"/>
      <c r="N12" s="83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</row>
    <row r="13" spans="1:61" s="85" customFormat="1" ht="24" customHeight="1">
      <c r="A13" s="103" t="s">
        <v>110</v>
      </c>
      <c r="B13" s="104">
        <v>-2691.6999999999916</v>
      </c>
      <c r="C13" s="104">
        <v>6677.800000000094</v>
      </c>
      <c r="D13" s="104">
        <v>-9369.500000000085</v>
      </c>
      <c r="E13" s="198">
        <v>-5764.5999999999785</v>
      </c>
      <c r="F13" s="121">
        <v>12442.400000000072</v>
      </c>
      <c r="G13" s="56"/>
      <c r="H13" s="86"/>
      <c r="I13" s="88"/>
      <c r="J13" s="88"/>
      <c r="K13" s="88"/>
      <c r="L13" s="67"/>
      <c r="M13" s="82"/>
      <c r="N13" s="83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</row>
    <row r="14" spans="1:61" s="85" customFormat="1" ht="24" customHeight="1">
      <c r="A14" s="103" t="s">
        <v>111</v>
      </c>
      <c r="B14" s="104">
        <v>-13929.062000000078</v>
      </c>
      <c r="C14" s="104">
        <v>4460.965999999928</v>
      </c>
      <c r="D14" s="104">
        <v>-18390.028000000006</v>
      </c>
      <c r="E14" s="198">
        <v>-93362.6829999999</v>
      </c>
      <c r="F14" s="119">
        <v>97823.64899999983</v>
      </c>
      <c r="G14" s="56"/>
      <c r="H14" s="86"/>
      <c r="I14" s="88"/>
      <c r="J14" s="88"/>
      <c r="K14" s="88"/>
      <c r="L14" s="67"/>
      <c r="M14" s="82"/>
      <c r="N14" s="83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</row>
    <row r="15" spans="1:61" s="85" customFormat="1" ht="24" customHeight="1">
      <c r="A15" s="103" t="s">
        <v>114</v>
      </c>
      <c r="B15" s="203">
        <v>99416.21000000037</v>
      </c>
      <c r="C15" s="203">
        <v>3499.5000000007276</v>
      </c>
      <c r="D15" s="104">
        <v>95916.70999999964</v>
      </c>
      <c r="E15" s="198">
        <v>-120753.40000000008</v>
      </c>
      <c r="F15" s="121">
        <v>124252.90000000081</v>
      </c>
      <c r="G15" s="56"/>
      <c r="H15" s="86"/>
      <c r="I15" s="88"/>
      <c r="J15" s="88"/>
      <c r="K15" s="88"/>
      <c r="L15" s="67"/>
      <c r="M15" s="82"/>
      <c r="N15" s="83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</row>
    <row r="16" spans="1:61" s="85" customFormat="1" ht="24" customHeight="1">
      <c r="A16" s="103" t="s">
        <v>159</v>
      </c>
      <c r="B16" s="104">
        <v>-159946.52900000013</v>
      </c>
      <c r="C16" s="104">
        <v>-169811.04599999974</v>
      </c>
      <c r="D16" s="104">
        <v>9864.516999999614</v>
      </c>
      <c r="E16" s="198">
        <v>-225120.2</v>
      </c>
      <c r="F16" s="119">
        <v>55309.15400000027</v>
      </c>
      <c r="G16" s="56"/>
      <c r="H16" s="86"/>
      <c r="I16" s="88"/>
      <c r="J16" s="88"/>
      <c r="K16" s="88"/>
      <c r="L16" s="64"/>
      <c r="M16" s="82"/>
      <c r="N16" s="83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</row>
    <row r="17" spans="1:61" s="85" customFormat="1" ht="24" customHeight="1">
      <c r="A17" s="103" t="s">
        <v>162</v>
      </c>
      <c r="B17" s="104">
        <v>-115596.53700000007</v>
      </c>
      <c r="C17" s="104">
        <v>-269435.1010000009</v>
      </c>
      <c r="D17" s="104">
        <v>153838.56400000083</v>
      </c>
      <c r="E17" s="198">
        <v>-230166.43299999996</v>
      </c>
      <c r="F17" s="121">
        <v>-39268.66800000094</v>
      </c>
      <c r="G17" s="56"/>
      <c r="H17" s="86"/>
      <c r="I17" s="88"/>
      <c r="J17" s="88"/>
      <c r="K17" s="88"/>
      <c r="L17" s="64"/>
      <c r="M17" s="82"/>
      <c r="N17" s="83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</row>
    <row r="18" spans="1:61" s="85" customFormat="1" ht="24" customHeight="1">
      <c r="A18" s="103" t="s">
        <v>163</v>
      </c>
      <c r="B18" s="203">
        <v>-227738.50000000035</v>
      </c>
      <c r="C18" s="203">
        <v>-164129.70000000036</v>
      </c>
      <c r="D18" s="104">
        <v>-63608.79999999999</v>
      </c>
      <c r="E18" s="198">
        <v>-310781.70400000026</v>
      </c>
      <c r="F18" s="119">
        <v>146652.0039999999</v>
      </c>
      <c r="G18" s="56"/>
      <c r="H18" s="86"/>
      <c r="I18" s="88"/>
      <c r="J18" s="88"/>
      <c r="K18" s="88"/>
      <c r="L18" s="67"/>
      <c r="M18" s="82"/>
      <c r="N18" s="83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</row>
    <row r="19" spans="1:61" s="85" customFormat="1" ht="24" customHeight="1">
      <c r="A19" s="103" t="s">
        <v>164</v>
      </c>
      <c r="B19" s="104">
        <v>-49216.99999999993</v>
      </c>
      <c r="C19" s="104">
        <v>-49673.58916000012</v>
      </c>
      <c r="D19" s="104">
        <v>456.58916000019235</v>
      </c>
      <c r="E19" s="198">
        <v>-37448.79999999995</v>
      </c>
      <c r="F19" s="121">
        <v>-12224.789160000168</v>
      </c>
      <c r="G19" s="56"/>
      <c r="H19" s="86"/>
      <c r="I19" s="88"/>
      <c r="J19" s="88"/>
      <c r="K19" s="88"/>
      <c r="L19" s="67"/>
      <c r="M19" s="82"/>
      <c r="N19" s="83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</row>
    <row r="20" spans="1:61" s="85" customFormat="1" ht="24" customHeight="1">
      <c r="A20" s="103" t="s">
        <v>165</v>
      </c>
      <c r="B20" s="104">
        <v>-25015.999999999964</v>
      </c>
      <c r="C20" s="104">
        <v>-107835.39999999989</v>
      </c>
      <c r="D20" s="104">
        <v>82819.39999999994</v>
      </c>
      <c r="E20" s="198">
        <v>-28951.099999999948</v>
      </c>
      <c r="F20" s="119">
        <v>-78884.29999999994</v>
      </c>
      <c r="G20" s="56"/>
      <c r="H20" s="86"/>
      <c r="I20" s="88"/>
      <c r="J20" s="88"/>
      <c r="K20" s="88"/>
      <c r="L20" s="67"/>
      <c r="M20" s="82"/>
      <c r="N20" s="83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</row>
    <row r="21" spans="1:61" s="85" customFormat="1" ht="24" customHeight="1">
      <c r="A21" s="103" t="s">
        <v>166</v>
      </c>
      <c r="B21" s="104">
        <v>-16653</v>
      </c>
      <c r="C21" s="104">
        <v>-3705.1000000000186</v>
      </c>
      <c r="D21" s="104">
        <v>-12947.899999999981</v>
      </c>
      <c r="E21" s="198">
        <v>-16797.85</v>
      </c>
      <c r="F21" s="121">
        <v>13092.74999999998</v>
      </c>
      <c r="G21" s="56"/>
      <c r="H21" s="86"/>
      <c r="I21" s="88"/>
      <c r="J21" s="88"/>
      <c r="K21" s="88"/>
      <c r="L21" s="67"/>
      <c r="M21" s="82"/>
      <c r="N21" s="83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</row>
    <row r="22" spans="1:61" s="85" customFormat="1" ht="24" customHeight="1">
      <c r="A22" s="103" t="s">
        <v>167</v>
      </c>
      <c r="B22" s="104">
        <v>-108451.10000000018</v>
      </c>
      <c r="C22" s="104">
        <v>-79559.39999999928</v>
      </c>
      <c r="D22" s="104">
        <v>-28891.7000000009</v>
      </c>
      <c r="E22" s="198">
        <v>-82931.10000000018</v>
      </c>
      <c r="F22" s="119">
        <v>3371.7000000008993</v>
      </c>
      <c r="G22" s="56"/>
      <c r="H22" s="86"/>
      <c r="I22" s="88"/>
      <c r="J22" s="88"/>
      <c r="K22" s="88"/>
      <c r="L22" s="67"/>
      <c r="M22" s="82"/>
      <c r="N22" s="83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</row>
    <row r="23" spans="1:61" s="85" customFormat="1" ht="24" customHeight="1">
      <c r="A23" s="103" t="s">
        <v>168</v>
      </c>
      <c r="B23" s="104">
        <v>-39037</v>
      </c>
      <c r="C23" s="104">
        <v>44478</v>
      </c>
      <c r="D23" s="104">
        <v>-83515</v>
      </c>
      <c r="E23" s="198">
        <v>-149817</v>
      </c>
      <c r="F23" s="121">
        <v>194295</v>
      </c>
      <c r="G23" s="56"/>
      <c r="H23" s="86"/>
      <c r="I23" s="88"/>
      <c r="J23" s="88"/>
      <c r="K23" s="88"/>
      <c r="L23" s="67"/>
      <c r="M23" s="82"/>
      <c r="N23" s="83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</row>
    <row r="24" spans="1:61" s="85" customFormat="1" ht="24" customHeight="1">
      <c r="A24" s="103" t="s">
        <v>169</v>
      </c>
      <c r="B24" s="104">
        <v>-48493.08099999931</v>
      </c>
      <c r="C24" s="104">
        <v>13220.134000000195</v>
      </c>
      <c r="D24" s="104">
        <v>-61713.2149999995</v>
      </c>
      <c r="E24" s="198">
        <v>14192.168999999732</v>
      </c>
      <c r="F24" s="119">
        <v>-972.0349999995378</v>
      </c>
      <c r="G24" s="56"/>
      <c r="H24" s="86"/>
      <c r="I24" s="88"/>
      <c r="J24" s="88"/>
      <c r="K24" s="88"/>
      <c r="L24" s="67"/>
      <c r="M24" s="82"/>
      <c r="N24" s="83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</row>
    <row r="25" spans="1:61" s="85" customFormat="1" ht="24" customHeight="1">
      <c r="A25" s="103" t="s">
        <v>170</v>
      </c>
      <c r="B25" s="104">
        <v>-27159.959160000086</v>
      </c>
      <c r="C25" s="104">
        <v>-94035</v>
      </c>
      <c r="D25" s="104">
        <v>66875.04083999991</v>
      </c>
      <c r="E25" s="198">
        <v>-73343</v>
      </c>
      <c r="F25" s="121">
        <v>-20692</v>
      </c>
      <c r="G25" s="56"/>
      <c r="H25" s="86"/>
      <c r="I25" s="88"/>
      <c r="J25" s="88"/>
      <c r="K25" s="88"/>
      <c r="L25" s="67"/>
      <c r="M25" s="82"/>
      <c r="N25" s="83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</row>
    <row r="26" spans="1:61" s="85" customFormat="1" ht="24" customHeight="1">
      <c r="A26" s="103" t="s">
        <v>172</v>
      </c>
      <c r="B26" s="104">
        <v>-255106</v>
      </c>
      <c r="C26" s="104">
        <v>-91179.34285999925</v>
      </c>
      <c r="D26" s="104">
        <v>-163926.65714000075</v>
      </c>
      <c r="E26" s="198">
        <v>-201234.88000000073</v>
      </c>
      <c r="F26" s="119">
        <v>110055.53714000148</v>
      </c>
      <c r="G26" s="56"/>
      <c r="H26" s="86"/>
      <c r="I26" s="88"/>
      <c r="J26" s="88"/>
      <c r="K26" s="88"/>
      <c r="L26" s="67"/>
      <c r="M26" s="82"/>
      <c r="N26" s="83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</row>
    <row r="27" spans="1:61" s="85" customFormat="1" ht="24" customHeight="1">
      <c r="A27" s="103" t="s">
        <v>173</v>
      </c>
      <c r="B27" s="104">
        <v>-113800.20000000056</v>
      </c>
      <c r="C27" s="104">
        <v>-82289.64999999813</v>
      </c>
      <c r="D27" s="104">
        <v>-31510.550000002433</v>
      </c>
      <c r="E27" s="198">
        <v>-135614.90000000224</v>
      </c>
      <c r="F27" s="121">
        <v>53325.250000004104</v>
      </c>
      <c r="G27" s="56"/>
      <c r="H27" s="86"/>
      <c r="I27" s="88"/>
      <c r="J27" s="88"/>
      <c r="K27" s="88"/>
      <c r="L27" s="64"/>
      <c r="M27" s="82"/>
      <c r="N27" s="83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</row>
    <row r="28" spans="1:61" s="85" customFormat="1" ht="24" customHeight="1">
      <c r="A28" s="103" t="s">
        <v>176</v>
      </c>
      <c r="B28" s="104">
        <v>1869.900000000518</v>
      </c>
      <c r="C28" s="104">
        <v>920.0999999999767</v>
      </c>
      <c r="D28" s="104">
        <v>949.8000000005413</v>
      </c>
      <c r="E28" s="198">
        <v>106.60000000038417</v>
      </c>
      <c r="F28" s="119">
        <v>813.4999999995925</v>
      </c>
      <c r="G28" s="56"/>
      <c r="H28" s="86"/>
      <c r="I28" s="88"/>
      <c r="J28" s="88"/>
      <c r="K28" s="88"/>
      <c r="L28" s="67"/>
      <c r="M28" s="82"/>
      <c r="N28" s="83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</row>
    <row r="29" spans="1:61" s="85" customFormat="1" ht="24" customHeight="1">
      <c r="A29" s="103" t="s">
        <v>177</v>
      </c>
      <c r="B29" s="104">
        <v>-17647.199999999713</v>
      </c>
      <c r="C29" s="104">
        <v>3660.23900000046</v>
      </c>
      <c r="D29" s="104">
        <v>-21307.439000000173</v>
      </c>
      <c r="E29" s="198">
        <v>-18939.791000000056</v>
      </c>
      <c r="F29" s="121">
        <v>22600.030000000515</v>
      </c>
      <c r="G29" s="56"/>
      <c r="H29" s="86"/>
      <c r="I29" s="88"/>
      <c r="J29" s="88"/>
      <c r="K29" s="88"/>
      <c r="L29" s="67"/>
      <c r="M29" s="82"/>
      <c r="N29" s="83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</row>
    <row r="30" spans="1:61" s="85" customFormat="1" ht="24" customHeight="1">
      <c r="A30" s="103" t="s">
        <v>178</v>
      </c>
      <c r="B30" s="104">
        <v>-641602.8129999989</v>
      </c>
      <c r="C30" s="104">
        <v>368272.17900000024</v>
      </c>
      <c r="D30" s="104">
        <v>1009874.9919999992</v>
      </c>
      <c r="E30" s="198">
        <v>66314.61000560026</v>
      </c>
      <c r="F30" s="119">
        <v>-301957.5689944</v>
      </c>
      <c r="G30" s="56"/>
      <c r="H30" s="86"/>
      <c r="I30" s="88"/>
      <c r="J30" s="88"/>
      <c r="K30" s="88"/>
      <c r="L30" s="64"/>
      <c r="M30" s="64"/>
      <c r="N30" s="83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</row>
    <row r="31" spans="1:61" s="85" customFormat="1" ht="24" customHeight="1">
      <c r="A31" s="103" t="s">
        <v>186</v>
      </c>
      <c r="B31" s="104">
        <v>-1821.6000000000495</v>
      </c>
      <c r="C31" s="104">
        <v>-1665.0813699999053</v>
      </c>
      <c r="D31" s="104">
        <v>-156.51863000014419</v>
      </c>
      <c r="E31" s="198">
        <v>-354</v>
      </c>
      <c r="F31" s="121">
        <v>-1311.0813699999053</v>
      </c>
      <c r="G31" s="56"/>
      <c r="H31" s="86"/>
      <c r="I31" s="88"/>
      <c r="J31" s="88"/>
      <c r="K31" s="88"/>
      <c r="L31" s="67"/>
      <c r="M31" s="82"/>
      <c r="N31" s="83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</row>
    <row r="32" spans="1:14" s="84" customFormat="1" ht="26.25" customHeight="1">
      <c r="A32" s="108" t="s">
        <v>189</v>
      </c>
      <c r="B32" s="109">
        <v>-2400678.02217</v>
      </c>
      <c r="C32" s="109">
        <v>-1023643.8401399964</v>
      </c>
      <c r="D32" s="109">
        <v>1377034.1820300035</v>
      </c>
      <c r="E32" s="110">
        <v>-1795251.492644405</v>
      </c>
      <c r="F32" s="111">
        <v>-771607.6525044086</v>
      </c>
      <c r="G32" s="83"/>
      <c r="H32" s="86"/>
      <c r="I32" s="88"/>
      <c r="J32" s="88"/>
      <c r="K32" s="88"/>
      <c r="L32" s="67"/>
      <c r="M32" s="82"/>
      <c r="N32" s="83"/>
    </row>
    <row r="33" spans="1:14" s="84" customFormat="1" ht="20.25" customHeight="1" thickBot="1">
      <c r="A33" s="114" t="s">
        <v>8</v>
      </c>
      <c r="B33" s="106"/>
      <c r="C33" s="106"/>
      <c r="D33" s="113" t="s">
        <v>9</v>
      </c>
      <c r="E33" s="112"/>
      <c r="F33" s="107"/>
      <c r="G33" s="83"/>
      <c r="H33" s="96"/>
      <c r="I33" s="81"/>
      <c r="J33" s="81"/>
      <c r="K33" s="81"/>
      <c r="L33" s="81"/>
      <c r="M33" s="82"/>
      <c r="N33" s="83"/>
    </row>
    <row r="34" spans="1:13" ht="15.75" thickTop="1">
      <c r="A34" s="208" t="s">
        <v>218</v>
      </c>
      <c r="B34" s="91"/>
      <c r="C34" s="91"/>
      <c r="D34" s="91"/>
      <c r="E34" s="97"/>
      <c r="F34" s="91"/>
      <c r="I34" s="81"/>
      <c r="J34" s="81"/>
      <c r="K34" s="81"/>
      <c r="L34" s="81"/>
      <c r="M34" s="81"/>
    </row>
    <row r="35" spans="1:13" ht="12.75">
      <c r="A35" s="149"/>
      <c r="B35" s="92"/>
      <c r="C35" s="92"/>
      <c r="D35" s="92"/>
      <c r="E35" s="65"/>
      <c r="F35" s="92"/>
      <c r="I35" s="49"/>
      <c r="J35" s="49"/>
      <c r="K35" s="49"/>
      <c r="L35" s="49"/>
      <c r="M35" s="49"/>
    </row>
    <row r="36" spans="1:8" ht="12.75">
      <c r="A36" s="150"/>
      <c r="B36" s="92"/>
      <c r="C36" s="92"/>
      <c r="D36" s="92"/>
      <c r="E36" s="65"/>
      <c r="F36" s="92"/>
      <c r="H36" s="99"/>
    </row>
    <row r="37" spans="2:6" ht="12.75">
      <c r="B37" s="92"/>
      <c r="C37" s="92"/>
      <c r="D37" s="92"/>
      <c r="E37" s="65"/>
      <c r="F37" s="92"/>
    </row>
    <row r="38" spans="2:6" ht="12.75">
      <c r="B38" s="92"/>
      <c r="C38" s="92"/>
      <c r="D38" s="92"/>
      <c r="E38" s="65"/>
      <c r="F38" s="92"/>
    </row>
    <row r="39" spans="2:6" ht="12.75">
      <c r="B39" s="92"/>
      <c r="C39" s="92"/>
      <c r="D39" s="92"/>
      <c r="E39" s="65"/>
      <c r="F39" s="92"/>
    </row>
    <row r="40" spans="1:6" ht="12.75">
      <c r="A40" s="93"/>
      <c r="B40" s="92"/>
      <c r="C40" s="92"/>
      <c r="D40" s="92"/>
      <c r="E40" s="65"/>
      <c r="F40" s="92"/>
    </row>
    <row r="41" spans="1:6" ht="12.75">
      <c r="A41" s="93"/>
      <c r="B41" s="92"/>
      <c r="C41" s="92"/>
      <c r="D41" s="92"/>
      <c r="E41" s="65"/>
      <c r="F41" s="92"/>
    </row>
    <row r="42" spans="2:6" ht="12.75">
      <c r="B42" s="92"/>
      <c r="C42" s="92"/>
      <c r="D42" s="92"/>
      <c r="E42" s="65"/>
      <c r="F42" s="92"/>
    </row>
    <row r="43" spans="1:6" ht="12.75">
      <c r="A43" s="93"/>
      <c r="B43" s="92"/>
      <c r="C43" s="92"/>
      <c r="D43" s="92"/>
      <c r="E43" s="65"/>
      <c r="F43" s="92"/>
    </row>
    <row r="44" spans="2:8" ht="12.75">
      <c r="B44" s="92"/>
      <c r="C44" s="92"/>
      <c r="D44" s="92"/>
      <c r="E44" s="65"/>
      <c r="F44" s="92"/>
      <c r="H44" s="99"/>
    </row>
    <row r="45" spans="2:8" ht="12.75">
      <c r="B45" s="92"/>
      <c r="C45" s="92"/>
      <c r="D45" s="92"/>
      <c r="E45" s="65"/>
      <c r="F45" s="92"/>
      <c r="H45" s="99"/>
    </row>
    <row r="46" spans="2:8" ht="12.75">
      <c r="B46" s="92"/>
      <c r="C46" s="92"/>
      <c r="D46" s="92"/>
      <c r="E46" s="65"/>
      <c r="F46" s="92"/>
      <c r="H46" s="99"/>
    </row>
    <row r="47" spans="2:6" ht="12.75">
      <c r="B47" s="92"/>
      <c r="C47" s="92"/>
      <c r="D47" s="92"/>
      <c r="E47" s="65"/>
      <c r="F47" s="92"/>
    </row>
    <row r="48" spans="2:6" ht="12.75">
      <c r="B48" s="92"/>
      <c r="C48" s="92"/>
      <c r="D48" s="92"/>
      <c r="E48" s="65"/>
      <c r="F48" s="92"/>
    </row>
    <row r="49" spans="1:6" ht="12.75">
      <c r="A49" s="93"/>
      <c r="B49" s="92"/>
      <c r="C49" s="92"/>
      <c r="D49" s="92"/>
      <c r="E49" s="65"/>
      <c r="F49" s="92"/>
    </row>
    <row r="50" spans="1:6" ht="12.75">
      <c r="A50" s="93"/>
      <c r="B50" s="92"/>
      <c r="C50" s="92"/>
      <c r="D50" s="92"/>
      <c r="E50" s="65"/>
      <c r="F50" s="92"/>
    </row>
    <row r="51" spans="1:6" ht="12.75">
      <c r="A51" s="93"/>
      <c r="B51" s="92"/>
      <c r="C51" s="92"/>
      <c r="D51" s="92"/>
      <c r="E51" s="65"/>
      <c r="F51" s="92"/>
    </row>
    <row r="52" spans="2:6" ht="12.75">
      <c r="B52" s="92"/>
      <c r="C52" s="92"/>
      <c r="D52" s="92"/>
      <c r="E52" s="65"/>
      <c r="F52" s="92"/>
    </row>
    <row r="53" spans="2:6" ht="12.75">
      <c r="B53" s="92"/>
      <c r="C53" s="92"/>
      <c r="D53" s="92"/>
      <c r="E53" s="65"/>
      <c r="F53" s="92"/>
    </row>
    <row r="54" spans="2:6" ht="12.75">
      <c r="B54" s="92"/>
      <c r="C54" s="92"/>
      <c r="D54" s="92"/>
      <c r="E54" s="65"/>
      <c r="F54" s="92"/>
    </row>
    <row r="55" spans="2:6" ht="12.75">
      <c r="B55" s="92"/>
      <c r="C55" s="92"/>
      <c r="D55" s="92"/>
      <c r="E55" s="65"/>
      <c r="F55" s="92"/>
    </row>
    <row r="56" spans="2:6" ht="12.75">
      <c r="B56" s="92"/>
      <c r="C56" s="92"/>
      <c r="D56" s="92"/>
      <c r="E56" s="65"/>
      <c r="F56" s="92"/>
    </row>
    <row r="57" spans="2:6" ht="12.75">
      <c r="B57" s="92"/>
      <c r="C57" s="92"/>
      <c r="D57" s="92"/>
      <c r="E57" s="65"/>
      <c r="F57" s="92"/>
    </row>
    <row r="58" spans="2:6" ht="12.75">
      <c r="B58" s="92"/>
      <c r="C58" s="92"/>
      <c r="D58" s="92"/>
      <c r="E58" s="65"/>
      <c r="F58" s="92"/>
    </row>
    <row r="59" spans="2:6" ht="12.75">
      <c r="B59" s="92"/>
      <c r="C59" s="92"/>
      <c r="D59" s="92"/>
      <c r="E59" s="65"/>
      <c r="F59" s="92"/>
    </row>
    <row r="60" spans="2:6" ht="12.75">
      <c r="B60" s="92"/>
      <c r="C60" s="92"/>
      <c r="D60" s="92"/>
      <c r="E60" s="65"/>
      <c r="F60" s="92"/>
    </row>
    <row r="61" spans="2:6" ht="12.75">
      <c r="B61" s="92"/>
      <c r="C61" s="92"/>
      <c r="D61" s="92"/>
      <c r="E61" s="65"/>
      <c r="F61" s="92"/>
    </row>
    <row r="62" spans="1:6" ht="12.75">
      <c r="A62" s="93"/>
      <c r="B62" s="92"/>
      <c r="C62" s="92"/>
      <c r="D62" s="92"/>
      <c r="E62" s="65"/>
      <c r="F62" s="92"/>
    </row>
  </sheetData>
  <sheetProtection/>
  <mergeCells count="1">
    <mergeCell ref="A1:F1"/>
  </mergeCells>
  <printOptions/>
  <pageMargins left="0.6692913385826772" right="0.5511811023622047" top="0.984251968503937" bottom="0.75" header="0.5118110236220472" footer="0.4724409448818898"/>
  <pageSetup horizontalDpi="300" verticalDpi="300" orientation="portrait" paperSize="9" scale="92" r:id="rId1"/>
  <headerFooter alignWithMargins="0">
    <oddHeader>&amp;LFachgruppe für kantonale Finanzfragen (FkF)
Groupe d'étude pour les finances cantonales&amp;RZürich, 12.9.2013</oddHeader>
    <oddFooter>&amp;LQuelle/Source: FkF Sept. 2013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B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90" customWidth="1"/>
    <col min="2" max="3" width="15.28125" style="94" customWidth="1"/>
    <col min="4" max="4" width="15.421875" style="94" customWidth="1"/>
    <col min="5" max="5" width="15.28125" style="94" customWidth="1"/>
    <col min="6" max="6" width="15.28125" style="102" customWidth="1"/>
    <col min="7" max="7" width="11.421875" style="71" customWidth="1"/>
    <col min="8" max="8" width="25.7109375" style="77" customWidth="1"/>
    <col min="9" max="9" width="14.8515625" style="77" customWidth="1"/>
    <col min="10" max="10" width="16.7109375" style="77" customWidth="1"/>
    <col min="11" max="11" width="18.7109375" style="77" customWidth="1"/>
    <col min="12" max="12" width="13.7109375" style="77" customWidth="1"/>
    <col min="13" max="13" width="13.7109375" style="77" hidden="1" customWidth="1"/>
    <col min="14" max="14" width="13.421875" style="77" customWidth="1"/>
    <col min="15" max="61" width="11.421875" style="55" customWidth="1"/>
  </cols>
  <sheetData>
    <row r="1" spans="1:61" s="75" customFormat="1" ht="37.5" customHeight="1">
      <c r="A1" s="614" t="s">
        <v>15</v>
      </c>
      <c r="B1" s="615"/>
      <c r="C1" s="615"/>
      <c r="D1" s="615"/>
      <c r="E1" s="615"/>
      <c r="F1" s="615"/>
      <c r="G1" s="72"/>
      <c r="H1" s="73"/>
      <c r="I1" s="73"/>
      <c r="J1" s="73"/>
      <c r="K1" s="73"/>
      <c r="L1" s="73"/>
      <c r="M1" s="73"/>
      <c r="N1" s="73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13" ht="15" customHeight="1">
      <c r="A2" s="219" t="s">
        <v>2</v>
      </c>
      <c r="B2" s="220" t="s">
        <v>24</v>
      </c>
      <c r="C2" s="220" t="s">
        <v>22</v>
      </c>
      <c r="D2" s="220" t="s">
        <v>215</v>
      </c>
      <c r="E2" s="220" t="s">
        <v>24</v>
      </c>
      <c r="F2" s="221" t="s">
        <v>215</v>
      </c>
      <c r="H2" s="44"/>
      <c r="I2" s="44"/>
      <c r="J2" s="44"/>
      <c r="K2" s="44"/>
      <c r="L2" s="44"/>
      <c r="M2" s="44"/>
    </row>
    <row r="3" spans="1:13" ht="15">
      <c r="A3" s="222" t="s">
        <v>1</v>
      </c>
      <c r="B3" s="116" t="s">
        <v>105</v>
      </c>
      <c r="C3" s="116" t="s">
        <v>115</v>
      </c>
      <c r="D3" s="126" t="s">
        <v>216</v>
      </c>
      <c r="E3" s="116" t="s">
        <v>105</v>
      </c>
      <c r="F3" s="223" t="s">
        <v>217</v>
      </c>
      <c r="H3" s="44"/>
      <c r="I3" s="44"/>
      <c r="J3" s="44"/>
      <c r="K3" s="44"/>
      <c r="L3" s="44"/>
      <c r="M3" s="44"/>
    </row>
    <row r="4" spans="1:13" ht="12.75">
      <c r="A4" s="225">
        <v>0</v>
      </c>
      <c r="B4" s="127">
        <v>2012</v>
      </c>
      <c r="C4" s="127">
        <v>2012</v>
      </c>
      <c r="D4" s="162">
        <v>0</v>
      </c>
      <c r="E4" s="127">
        <v>2013</v>
      </c>
      <c r="F4" s="236">
        <v>0</v>
      </c>
      <c r="H4" s="44"/>
      <c r="I4" s="44"/>
      <c r="J4" s="44"/>
      <c r="K4" s="44"/>
      <c r="L4" s="44"/>
      <c r="M4" s="44"/>
    </row>
    <row r="5" spans="1:61" s="85" customFormat="1" ht="27" customHeight="1">
      <c r="A5" s="224" t="s">
        <v>16</v>
      </c>
      <c r="B5" s="163">
        <v>0</v>
      </c>
      <c r="C5" s="164">
        <v>0</v>
      </c>
      <c r="D5" s="160">
        <v>0</v>
      </c>
      <c r="E5" s="130" t="s">
        <v>102</v>
      </c>
      <c r="F5" s="226">
        <v>0</v>
      </c>
      <c r="G5" s="56"/>
      <c r="H5" s="81"/>
      <c r="I5" s="44"/>
      <c r="J5" s="81"/>
      <c r="K5" s="81"/>
      <c r="L5" s="81"/>
      <c r="M5" s="82"/>
      <c r="N5" s="83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</row>
    <row r="6" spans="1:61" s="85" customFormat="1" ht="24" customHeight="1">
      <c r="A6" s="125" t="s">
        <v>21</v>
      </c>
      <c r="B6" s="209">
        <v>0.34051007398441785</v>
      </c>
      <c r="C6" s="209">
        <v>1.3726023073259401</v>
      </c>
      <c r="D6" s="122">
        <v>1.0320922333415223</v>
      </c>
      <c r="E6" s="209">
        <v>0.7278002155898643</v>
      </c>
      <c r="F6" s="210">
        <v>-0.6448020917360758</v>
      </c>
      <c r="G6" s="56"/>
      <c r="H6" s="81"/>
      <c r="I6" s="88"/>
      <c r="J6" s="88"/>
      <c r="K6" s="88"/>
      <c r="L6" s="67"/>
      <c r="M6" s="82"/>
      <c r="N6" s="83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</row>
    <row r="7" spans="1:61" s="85" customFormat="1" ht="24" customHeight="1">
      <c r="A7" s="125" t="s">
        <v>101</v>
      </c>
      <c r="B7" s="123">
        <v>1.0790704999198206</v>
      </c>
      <c r="C7" s="123">
        <v>0.4872009730100859</v>
      </c>
      <c r="D7" s="123">
        <v>-0.5918695269097347</v>
      </c>
      <c r="E7" s="124">
        <v>1.0872751711508912</v>
      </c>
      <c r="F7" s="211">
        <v>0.6000741981408053</v>
      </c>
      <c r="G7" s="56"/>
      <c r="H7" s="81"/>
      <c r="I7" s="88"/>
      <c r="J7" s="88"/>
      <c r="K7" s="88"/>
      <c r="L7" s="64"/>
      <c r="M7" s="82"/>
      <c r="N7" s="83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</row>
    <row r="8" spans="1:61" s="85" customFormat="1" ht="24" customHeight="1">
      <c r="A8" s="125" t="s">
        <v>104</v>
      </c>
      <c r="B8" s="123">
        <v>0.813802197809972</v>
      </c>
      <c r="C8" s="123">
        <v>0.5726462865236731</v>
      </c>
      <c r="D8" s="123">
        <v>-0.24115591128629887</v>
      </c>
      <c r="E8" s="212">
        <v>0.9133618869821598</v>
      </c>
      <c r="F8" s="210">
        <v>0.3407156004584867</v>
      </c>
      <c r="G8" s="56"/>
      <c r="H8" s="81"/>
      <c r="I8" s="88"/>
      <c r="J8" s="88"/>
      <c r="K8" s="88"/>
      <c r="L8" s="67"/>
      <c r="M8" s="82"/>
      <c r="N8" s="83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</row>
    <row r="9" spans="1:61" s="85" customFormat="1" ht="24" customHeight="1">
      <c r="A9" s="125" t="s">
        <v>106</v>
      </c>
      <c r="B9" s="123">
        <v>0.5088858382317059</v>
      </c>
      <c r="C9" s="123">
        <v>0.8403092707662</v>
      </c>
      <c r="D9" s="123">
        <v>0.33142343253449413</v>
      </c>
      <c r="E9" s="212">
        <v>0.5589186768118297</v>
      </c>
      <c r="F9" s="211">
        <v>-0.28139059395437027</v>
      </c>
      <c r="G9" s="56"/>
      <c r="H9" s="81"/>
      <c r="I9" s="88"/>
      <c r="J9" s="88"/>
      <c r="K9" s="88"/>
      <c r="L9" s="67"/>
      <c r="M9" s="82"/>
      <c r="N9" s="83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</row>
    <row r="10" spans="1:61" s="85" customFormat="1" ht="24" customHeight="1">
      <c r="A10" s="125" t="s">
        <v>107</v>
      </c>
      <c r="B10" s="123" t="s">
        <v>100</v>
      </c>
      <c r="C10" s="123" t="s">
        <v>100</v>
      </c>
      <c r="D10" s="124" t="s">
        <v>219</v>
      </c>
      <c r="E10" s="123" t="s">
        <v>100</v>
      </c>
      <c r="F10" s="213" t="s">
        <v>219</v>
      </c>
      <c r="G10" s="56"/>
      <c r="H10" s="81"/>
      <c r="I10" s="88"/>
      <c r="J10" s="88"/>
      <c r="K10" s="88"/>
      <c r="L10" s="67"/>
      <c r="M10" s="82"/>
      <c r="N10" s="83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</row>
    <row r="11" spans="1:61" s="85" customFormat="1" ht="24" customHeight="1">
      <c r="A11" s="125" t="s">
        <v>108</v>
      </c>
      <c r="B11" s="123" t="s">
        <v>100</v>
      </c>
      <c r="C11" s="123">
        <v>0.26961496975097315</v>
      </c>
      <c r="D11" s="123">
        <v>0.2722988835063256</v>
      </c>
      <c r="E11" s="123">
        <v>0.06965139407474613</v>
      </c>
      <c r="F11" s="211">
        <v>-0.19996357567622702</v>
      </c>
      <c r="G11" s="56"/>
      <c r="H11" s="81"/>
      <c r="I11" s="88"/>
      <c r="J11" s="88"/>
      <c r="K11" s="88"/>
      <c r="L11" s="67"/>
      <c r="M11" s="82"/>
      <c r="N11" s="83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</row>
    <row r="12" spans="1:61" s="85" customFormat="1" ht="24" customHeight="1">
      <c r="A12" s="125" t="s">
        <v>109</v>
      </c>
      <c r="B12" s="212">
        <v>0.4579641350210958</v>
      </c>
      <c r="C12" s="212">
        <v>0.6301995144282907</v>
      </c>
      <c r="D12" s="123">
        <v>0.1722353794071949</v>
      </c>
      <c r="E12" s="212">
        <v>0.6104707595243852</v>
      </c>
      <c r="F12" s="210">
        <v>-0.019728754903905465</v>
      </c>
      <c r="G12" s="56"/>
      <c r="H12" s="81"/>
      <c r="I12" s="88"/>
      <c r="J12" s="88"/>
      <c r="K12" s="88"/>
      <c r="L12" s="67"/>
      <c r="M12" s="82"/>
      <c r="N12" s="83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</row>
    <row r="13" spans="1:61" s="85" customFormat="1" ht="24" customHeight="1">
      <c r="A13" s="125" t="s">
        <v>110</v>
      </c>
      <c r="B13" s="212">
        <v>0.8506046965971599</v>
      </c>
      <c r="C13" s="212">
        <v>1.4896788906732439</v>
      </c>
      <c r="D13" s="124">
        <v>0.639074194076084</v>
      </c>
      <c r="E13" s="212">
        <v>0.6660197099702799</v>
      </c>
      <c r="F13" s="213">
        <v>-0.823659180702964</v>
      </c>
      <c r="G13" s="56"/>
      <c r="H13" s="81"/>
      <c r="I13" s="88"/>
      <c r="J13" s="88"/>
      <c r="K13" s="88"/>
      <c r="L13" s="67"/>
      <c r="M13" s="82"/>
      <c r="N13" s="83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</row>
    <row r="14" spans="1:61" s="85" customFormat="1" ht="24" customHeight="1">
      <c r="A14" s="125" t="s">
        <v>111</v>
      </c>
      <c r="B14" s="123">
        <v>0.8517833273212679</v>
      </c>
      <c r="C14" s="123">
        <v>1.05533808085006</v>
      </c>
      <c r="D14" s="123">
        <v>0.20355475352879215</v>
      </c>
      <c r="E14" s="212">
        <v>0.14199987501642805</v>
      </c>
      <c r="F14" s="210">
        <v>-0.913338205833632</v>
      </c>
      <c r="G14" s="56"/>
      <c r="H14" s="81"/>
      <c r="I14" s="88"/>
      <c r="J14" s="88"/>
      <c r="K14" s="88"/>
      <c r="L14" s="67"/>
      <c r="M14" s="82"/>
      <c r="N14" s="83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</row>
    <row r="15" spans="1:61" s="85" customFormat="1" ht="24" customHeight="1">
      <c r="A15" s="125" t="s">
        <v>114</v>
      </c>
      <c r="B15" s="212">
        <v>1.8236500637934778</v>
      </c>
      <c r="C15" s="212">
        <v>1.0316470577596173</v>
      </c>
      <c r="D15" s="123">
        <v>-0.7920030060338605</v>
      </c>
      <c r="E15" s="212">
        <v>0.2207597942734712</v>
      </c>
      <c r="F15" s="211">
        <v>-0.8108872634861461</v>
      </c>
      <c r="G15" s="56"/>
      <c r="H15" s="81"/>
      <c r="I15" s="88"/>
      <c r="J15" s="88"/>
      <c r="K15" s="88"/>
      <c r="L15" s="67"/>
      <c r="M15" s="82"/>
      <c r="N15" s="83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</row>
    <row r="16" spans="1:61" s="85" customFormat="1" ht="24" customHeight="1">
      <c r="A16" s="125" t="s">
        <v>159</v>
      </c>
      <c r="B16" s="123" t="s">
        <v>100</v>
      </c>
      <c r="C16" s="123" t="s">
        <v>100</v>
      </c>
      <c r="D16" s="123" t="s">
        <v>0</v>
      </c>
      <c r="E16" s="214" t="s">
        <v>100</v>
      </c>
      <c r="F16" s="210" t="s">
        <v>219</v>
      </c>
      <c r="G16" s="56"/>
      <c r="H16" s="81"/>
      <c r="I16" s="88"/>
      <c r="J16" s="88"/>
      <c r="K16" s="88"/>
      <c r="L16" s="64"/>
      <c r="M16" s="82"/>
      <c r="N16" s="83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</row>
    <row r="17" spans="1:61" s="85" customFormat="1" ht="24" customHeight="1">
      <c r="A17" s="125" t="s">
        <v>162</v>
      </c>
      <c r="B17" s="123">
        <v>0.6251733560311282</v>
      </c>
      <c r="C17" s="123">
        <v>0.5296471707972378</v>
      </c>
      <c r="D17" s="123">
        <v>-0.09552618523389045</v>
      </c>
      <c r="E17" s="124">
        <v>0.38282757409428414</v>
      </c>
      <c r="F17" s="211">
        <v>-0.14681959670295364</v>
      </c>
      <c r="G17" s="56"/>
      <c r="H17" s="81"/>
      <c r="I17" s="88"/>
      <c r="J17" s="88"/>
      <c r="K17" s="88"/>
      <c r="L17" s="64"/>
      <c r="M17" s="82"/>
      <c r="N17" s="83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</row>
    <row r="18" spans="1:61" s="85" customFormat="1" ht="24" customHeight="1">
      <c r="A18" s="125" t="s">
        <v>163</v>
      </c>
      <c r="B18" s="212" t="s">
        <v>100</v>
      </c>
      <c r="C18" s="212" t="s">
        <v>100</v>
      </c>
      <c r="D18" s="123" t="s">
        <v>0</v>
      </c>
      <c r="E18" s="212" t="s">
        <v>100</v>
      </c>
      <c r="F18" s="210" t="s">
        <v>219</v>
      </c>
      <c r="G18" s="56"/>
      <c r="H18" s="81"/>
      <c r="I18" s="88"/>
      <c r="J18" s="88"/>
      <c r="K18" s="88"/>
      <c r="L18" s="67"/>
      <c r="M18" s="82"/>
      <c r="N18" s="83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</row>
    <row r="19" spans="1:61" s="85" customFormat="1" ht="24" customHeight="1">
      <c r="A19" s="125" t="s">
        <v>164</v>
      </c>
      <c r="B19" s="123" t="s">
        <v>100</v>
      </c>
      <c r="C19" s="123" t="s">
        <v>100</v>
      </c>
      <c r="D19" s="123" t="s">
        <v>0</v>
      </c>
      <c r="E19" s="123" t="s">
        <v>100</v>
      </c>
      <c r="F19" s="211" t="s">
        <v>219</v>
      </c>
      <c r="G19" s="56"/>
      <c r="H19" s="81"/>
      <c r="I19" s="88"/>
      <c r="J19" s="88"/>
      <c r="K19" s="88"/>
      <c r="L19" s="67"/>
      <c r="M19" s="82"/>
      <c r="N19" s="83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</row>
    <row r="20" spans="1:61" s="85" customFormat="1" ht="24" customHeight="1">
      <c r="A20" s="125" t="s">
        <v>165</v>
      </c>
      <c r="B20" s="123">
        <v>0.4157187901436421</v>
      </c>
      <c r="C20" s="123">
        <v>0.07248099554283426</v>
      </c>
      <c r="D20" s="124">
        <v>-0.34323779460080783</v>
      </c>
      <c r="E20" s="123">
        <v>0.2610650978190138</v>
      </c>
      <c r="F20" s="210">
        <v>0.18858410227617955</v>
      </c>
      <c r="G20" s="56"/>
      <c r="H20" s="81"/>
      <c r="I20" s="88"/>
      <c r="J20" s="88"/>
      <c r="K20" s="88"/>
      <c r="L20" s="67"/>
      <c r="M20" s="82"/>
      <c r="N20" s="83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</row>
    <row r="21" spans="1:61" s="85" customFormat="1" ht="24" customHeight="1">
      <c r="A21" s="125" t="s">
        <v>166</v>
      </c>
      <c r="B21" s="123" t="s">
        <v>100</v>
      </c>
      <c r="C21" s="123">
        <v>0.5851277055549936</v>
      </c>
      <c r="D21" s="123" t="s">
        <v>219</v>
      </c>
      <c r="E21" s="123" t="s">
        <v>100</v>
      </c>
      <c r="F21" s="213" t="s">
        <v>219</v>
      </c>
      <c r="G21" s="56"/>
      <c r="H21" s="81"/>
      <c r="I21" s="88"/>
      <c r="J21" s="88"/>
      <c r="K21" s="88"/>
      <c r="L21" s="67"/>
      <c r="M21" s="82"/>
      <c r="N21" s="83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</row>
    <row r="22" spans="1:61" s="85" customFormat="1" ht="24" customHeight="1">
      <c r="A22" s="125" t="s">
        <v>167</v>
      </c>
      <c r="B22" s="123">
        <v>0.44158767705404217</v>
      </c>
      <c r="C22" s="123">
        <v>0.5428290681538093</v>
      </c>
      <c r="D22" s="123">
        <v>0.1012413910997671</v>
      </c>
      <c r="E22" s="123">
        <v>0.5158311707645996</v>
      </c>
      <c r="F22" s="210">
        <v>-0.026997897389209657</v>
      </c>
      <c r="G22" s="56"/>
      <c r="H22" s="81"/>
      <c r="I22" s="88"/>
      <c r="J22" s="88"/>
      <c r="K22" s="88"/>
      <c r="L22" s="67"/>
      <c r="M22" s="82"/>
      <c r="N22" s="83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</row>
    <row r="23" spans="1:61" s="85" customFormat="1" ht="24" customHeight="1">
      <c r="A23" s="125" t="s">
        <v>168</v>
      </c>
      <c r="B23" s="123">
        <v>0.8007655600071453</v>
      </c>
      <c r="C23" s="123">
        <v>1.2708901773533425</v>
      </c>
      <c r="D23" s="123">
        <v>0.47012461734619726</v>
      </c>
      <c r="E23" s="123">
        <v>0.27876894340567293</v>
      </c>
      <c r="F23" s="211">
        <v>-0.9921212339476696</v>
      </c>
      <c r="G23" s="56"/>
      <c r="H23" s="81"/>
      <c r="I23" s="88"/>
      <c r="J23" s="88"/>
      <c r="K23" s="88"/>
      <c r="L23" s="67"/>
      <c r="M23" s="82"/>
      <c r="N23" s="83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</row>
    <row r="24" spans="1:61" s="85" customFormat="1" ht="24" customHeight="1">
      <c r="A24" s="125" t="s">
        <v>169</v>
      </c>
      <c r="B24" s="123">
        <v>0.8127930000071446</v>
      </c>
      <c r="C24" s="123">
        <v>1.0553906886900055</v>
      </c>
      <c r="D24" s="123">
        <v>0.2425976886828609</v>
      </c>
      <c r="E24" s="123">
        <v>1.0600616117643744</v>
      </c>
      <c r="F24" s="210">
        <v>0.004670923074368893</v>
      </c>
      <c r="G24" s="56"/>
      <c r="H24" s="81"/>
      <c r="I24" s="88"/>
      <c r="J24" s="88"/>
      <c r="K24" s="88"/>
      <c r="L24" s="67"/>
      <c r="M24" s="82"/>
      <c r="N24" s="83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</row>
    <row r="25" spans="1:61" s="85" customFormat="1" ht="24" customHeight="1">
      <c r="A25" s="125" t="s">
        <v>170</v>
      </c>
      <c r="B25" s="123">
        <v>0.813802197809972</v>
      </c>
      <c r="C25" s="123" t="s">
        <v>100</v>
      </c>
      <c r="D25" s="123" t="s">
        <v>219</v>
      </c>
      <c r="E25" s="212">
        <v>0.17974612760722475</v>
      </c>
      <c r="F25" s="598" t="s">
        <v>219</v>
      </c>
      <c r="G25" s="56"/>
      <c r="H25" s="81"/>
      <c r="I25" s="88"/>
      <c r="J25" s="88"/>
      <c r="K25" s="88"/>
      <c r="L25" s="67"/>
      <c r="M25" s="82"/>
      <c r="N25" s="83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</row>
    <row r="26" spans="1:61" s="85" customFormat="1" ht="24" customHeight="1">
      <c r="A26" s="125" t="s">
        <v>172</v>
      </c>
      <c r="B26" s="123" t="s">
        <v>100</v>
      </c>
      <c r="C26" s="123">
        <v>0.49143185732548106</v>
      </c>
      <c r="D26" s="124" t="s">
        <v>219</v>
      </c>
      <c r="E26" s="123">
        <v>0.10001323806695274</v>
      </c>
      <c r="F26" s="215">
        <v>-0.39141861925852833</v>
      </c>
      <c r="G26" s="56"/>
      <c r="H26" s="81"/>
      <c r="I26" s="88"/>
      <c r="J26" s="88"/>
      <c r="K26" s="88"/>
      <c r="L26" s="67"/>
      <c r="M26" s="82"/>
      <c r="N26" s="83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</row>
    <row r="27" spans="1:61" s="85" customFormat="1" ht="24" customHeight="1">
      <c r="A27" s="125" t="s">
        <v>173</v>
      </c>
      <c r="B27" s="123">
        <v>0.6206659999999982</v>
      </c>
      <c r="C27" s="123">
        <v>0.6809093482442062</v>
      </c>
      <c r="D27" s="123">
        <v>0.06024334824420807</v>
      </c>
      <c r="E27" s="124">
        <v>0.5773920224368893</v>
      </c>
      <c r="F27" s="213">
        <v>-0.10351732580731698</v>
      </c>
      <c r="G27" s="56"/>
      <c r="H27" s="81"/>
      <c r="I27" s="88"/>
      <c r="J27" s="88"/>
      <c r="K27" s="88"/>
      <c r="L27" s="64"/>
      <c r="M27" s="82"/>
      <c r="N27" s="83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</row>
    <row r="28" spans="1:61" s="85" customFormat="1" ht="24" customHeight="1">
      <c r="A28" s="125" t="s">
        <v>176</v>
      </c>
      <c r="B28" s="123">
        <v>1.0102352313313383</v>
      </c>
      <c r="C28" s="123">
        <v>1.0050806212482721</v>
      </c>
      <c r="D28" s="123">
        <v>-0.005154610083066169</v>
      </c>
      <c r="E28" s="123">
        <v>1.0006004432916256</v>
      </c>
      <c r="F28" s="210">
        <v>-0.004480177956646569</v>
      </c>
      <c r="G28" s="56"/>
      <c r="H28" s="81"/>
      <c r="I28" s="88"/>
      <c r="J28" s="88"/>
      <c r="K28" s="88"/>
      <c r="L28" s="67"/>
      <c r="M28" s="82"/>
      <c r="N28" s="83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</row>
    <row r="29" spans="1:61" s="85" customFormat="1" ht="24" customHeight="1">
      <c r="A29" s="125" t="s">
        <v>177</v>
      </c>
      <c r="B29" s="123">
        <v>0.7082929038635468</v>
      </c>
      <c r="C29" s="123">
        <v>1.0601755663696522</v>
      </c>
      <c r="D29" s="123">
        <v>0.35188266250610534</v>
      </c>
      <c r="E29" s="123">
        <v>0.7004647907816777</v>
      </c>
      <c r="F29" s="213">
        <v>-0.3597107755879745</v>
      </c>
      <c r="G29" s="56"/>
      <c r="H29" s="81"/>
      <c r="I29" s="88"/>
      <c r="J29" s="88"/>
      <c r="K29" s="88"/>
      <c r="L29" s="67"/>
      <c r="M29" s="82"/>
      <c r="N29" s="83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</row>
    <row r="30" spans="1:61" s="85" customFormat="1" ht="24" customHeight="1">
      <c r="A30" s="125" t="s">
        <v>178</v>
      </c>
      <c r="B30" s="123">
        <v>0.34104961975258485</v>
      </c>
      <c r="C30" s="123">
        <v>1.5127310932694067</v>
      </c>
      <c r="D30" s="123">
        <v>1.1716814735168217</v>
      </c>
      <c r="E30" s="124">
        <v>1.0900323189694865</v>
      </c>
      <c r="F30" s="215">
        <v>-0.4226987742999202</v>
      </c>
      <c r="G30" s="56"/>
      <c r="H30" s="81"/>
      <c r="I30" s="88"/>
      <c r="J30" s="88"/>
      <c r="K30" s="88"/>
      <c r="L30" s="64"/>
      <c r="M30" s="64"/>
      <c r="N30" s="83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</row>
    <row r="31" spans="1:61" s="85" customFormat="1" ht="24" customHeight="1">
      <c r="A31" s="227" t="s">
        <v>186</v>
      </c>
      <c r="B31" s="216">
        <v>0.9558742308996645</v>
      </c>
      <c r="C31" s="216">
        <v>0.9560001493501306</v>
      </c>
      <c r="D31" s="216">
        <v>0.000125918450466056</v>
      </c>
      <c r="E31" s="217">
        <v>0.9907761096027473</v>
      </c>
      <c r="F31" s="218">
        <v>0.034775960252616755</v>
      </c>
      <c r="G31" s="56"/>
      <c r="H31" s="81"/>
      <c r="I31" s="88"/>
      <c r="J31" s="88"/>
      <c r="K31" s="88"/>
      <c r="L31" s="67"/>
      <c r="M31" s="82"/>
      <c r="N31" s="83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</row>
    <row r="32" spans="1:14" s="84" customFormat="1" ht="19.5" customHeight="1">
      <c r="A32" s="228" t="s">
        <v>189</v>
      </c>
      <c r="B32" s="230">
        <f>'Ergebnisse Budgets 2012'!E35</f>
        <v>0.5344985294817073</v>
      </c>
      <c r="C32" s="230">
        <v>0.7846497026231116</v>
      </c>
      <c r="D32" s="231">
        <v>0.25015117314140434</v>
      </c>
      <c r="E32" s="230">
        <v>0.6364253793347487</v>
      </c>
      <c r="F32" s="232">
        <v>-0.14822432328836288</v>
      </c>
      <c r="G32" s="83"/>
      <c r="H32" s="81"/>
      <c r="I32" s="88"/>
      <c r="J32" s="88"/>
      <c r="K32" s="88"/>
      <c r="L32" s="67"/>
      <c r="M32" s="82"/>
      <c r="N32" s="83"/>
    </row>
    <row r="33" spans="1:14" s="84" customFormat="1" ht="3.75" customHeight="1">
      <c r="A33" s="154"/>
      <c r="B33" s="67"/>
      <c r="C33" s="67"/>
      <c r="D33" s="67"/>
      <c r="E33" s="67"/>
      <c r="F33" s="229"/>
      <c r="G33" s="83"/>
      <c r="H33" s="89"/>
      <c r="I33" s="81"/>
      <c r="J33" s="81"/>
      <c r="K33" s="81"/>
      <c r="L33" s="81"/>
      <c r="M33" s="82"/>
      <c r="N33" s="83"/>
    </row>
    <row r="34" spans="2:13" ht="3.75" customHeight="1">
      <c r="B34" s="91"/>
      <c r="C34" s="91"/>
      <c r="D34" s="91"/>
      <c r="E34" s="91"/>
      <c r="F34" s="101"/>
      <c r="I34" s="81"/>
      <c r="J34" s="81"/>
      <c r="K34" s="81"/>
      <c r="L34" s="81"/>
      <c r="M34" s="81"/>
    </row>
    <row r="35" spans="1:13" ht="15">
      <c r="A35" s="4" t="s">
        <v>7</v>
      </c>
      <c r="B35" s="92"/>
      <c r="C35" s="92"/>
      <c r="D35" s="92"/>
      <c r="E35" s="92"/>
      <c r="F35" s="101"/>
      <c r="I35" s="49"/>
      <c r="J35" s="49"/>
      <c r="K35" s="49"/>
      <c r="L35" s="49"/>
      <c r="M35" s="49"/>
    </row>
    <row r="36" spans="1:8" ht="15">
      <c r="A36" s="1" t="s">
        <v>17</v>
      </c>
      <c r="B36" s="92"/>
      <c r="C36" s="92"/>
      <c r="D36" s="92"/>
      <c r="E36" s="92"/>
      <c r="F36" s="101"/>
      <c r="H36" s="49"/>
    </row>
    <row r="37" spans="1:6" ht="15">
      <c r="A37" s="233" t="s">
        <v>218</v>
      </c>
      <c r="B37" s="92"/>
      <c r="C37" s="92"/>
      <c r="D37" s="92"/>
      <c r="E37" s="92"/>
      <c r="F37" s="101"/>
    </row>
    <row r="38" spans="1:6" ht="15">
      <c r="A38" s="93"/>
      <c r="B38" s="92"/>
      <c r="C38" s="92"/>
      <c r="D38" s="92"/>
      <c r="E38" s="92"/>
      <c r="F38" s="101"/>
    </row>
    <row r="39" spans="2:8" ht="15">
      <c r="B39" s="92"/>
      <c r="C39" s="92"/>
      <c r="D39" s="92"/>
      <c r="E39" s="92"/>
      <c r="F39" s="101"/>
      <c r="H39" s="49"/>
    </row>
    <row r="40" spans="2:8" ht="15">
      <c r="B40" s="92"/>
      <c r="C40" s="92"/>
      <c r="D40" s="92"/>
      <c r="E40" s="92"/>
      <c r="F40" s="101"/>
      <c r="H40" s="49"/>
    </row>
    <row r="41" spans="2:6" ht="15">
      <c r="B41" s="92"/>
      <c r="C41" s="92"/>
      <c r="D41" s="92"/>
      <c r="E41" s="92"/>
      <c r="F41" s="101"/>
    </row>
    <row r="42" spans="2:6" ht="15">
      <c r="B42" s="92"/>
      <c r="C42" s="92"/>
      <c r="D42" s="92"/>
      <c r="E42" s="92"/>
      <c r="F42" s="101"/>
    </row>
    <row r="43" spans="1:6" ht="15">
      <c r="A43" s="93"/>
      <c r="B43" s="92"/>
      <c r="C43" s="92"/>
      <c r="D43" s="92"/>
      <c r="E43" s="92"/>
      <c r="F43" s="101"/>
    </row>
    <row r="44" spans="1:6" ht="15">
      <c r="A44" s="93"/>
      <c r="B44" s="92"/>
      <c r="C44" s="92"/>
      <c r="D44" s="92"/>
      <c r="E44" s="92"/>
      <c r="F44" s="101"/>
    </row>
    <row r="45" spans="1:6" ht="15">
      <c r="A45" s="93"/>
      <c r="B45" s="92"/>
      <c r="C45" s="92"/>
      <c r="D45" s="92"/>
      <c r="E45" s="92"/>
      <c r="F45" s="101"/>
    </row>
    <row r="46" spans="2:6" ht="15">
      <c r="B46" s="92"/>
      <c r="C46" s="92"/>
      <c r="D46" s="92"/>
      <c r="E46" s="92"/>
      <c r="F46" s="101"/>
    </row>
    <row r="47" spans="2:6" ht="15">
      <c r="B47" s="92"/>
      <c r="C47" s="92"/>
      <c r="D47" s="92"/>
      <c r="E47" s="92"/>
      <c r="F47" s="101"/>
    </row>
    <row r="48" spans="2:6" ht="15">
      <c r="B48" s="92"/>
      <c r="C48" s="92"/>
      <c r="D48" s="92"/>
      <c r="E48" s="92"/>
      <c r="F48" s="101"/>
    </row>
    <row r="49" spans="2:6" ht="15">
      <c r="B49" s="92"/>
      <c r="C49" s="92"/>
      <c r="D49" s="92"/>
      <c r="E49" s="92"/>
      <c r="F49" s="101"/>
    </row>
    <row r="50" spans="2:6" ht="15">
      <c r="B50" s="92"/>
      <c r="C50" s="92"/>
      <c r="D50" s="92"/>
      <c r="E50" s="92"/>
      <c r="F50" s="101"/>
    </row>
    <row r="51" spans="2:6" ht="15">
      <c r="B51" s="92"/>
      <c r="C51" s="92"/>
      <c r="D51" s="92"/>
      <c r="E51" s="92"/>
      <c r="F51" s="101"/>
    </row>
    <row r="52" spans="2:6" ht="15">
      <c r="B52" s="92"/>
      <c r="C52" s="92"/>
      <c r="D52" s="92"/>
      <c r="E52" s="92"/>
      <c r="F52" s="101"/>
    </row>
    <row r="53" spans="2:6" ht="15">
      <c r="B53" s="92"/>
      <c r="C53" s="92"/>
      <c r="D53" s="92"/>
      <c r="E53" s="92"/>
      <c r="F53" s="101"/>
    </row>
    <row r="54" spans="2:6" ht="15">
      <c r="B54" s="92"/>
      <c r="C54" s="92"/>
      <c r="D54" s="92"/>
      <c r="E54" s="92"/>
      <c r="F54" s="101"/>
    </row>
    <row r="55" spans="2:6" ht="15">
      <c r="B55" s="92"/>
      <c r="C55" s="92"/>
      <c r="D55" s="92"/>
      <c r="E55" s="92"/>
      <c r="F55" s="101"/>
    </row>
    <row r="56" spans="1:6" ht="15">
      <c r="A56" s="93"/>
      <c r="B56" s="92"/>
      <c r="C56" s="92"/>
      <c r="D56" s="92"/>
      <c r="E56" s="92"/>
      <c r="F56" s="101"/>
    </row>
  </sheetData>
  <sheetProtection/>
  <mergeCells count="1">
    <mergeCell ref="A1:F1"/>
  </mergeCells>
  <printOptions/>
  <pageMargins left="0.6692913385826772" right="0.5511811023622047" top="0.984251968503937" bottom="0.75" header="0.5118110236220472" footer="0.4724409448818898"/>
  <pageSetup horizontalDpi="300" verticalDpi="300" orientation="portrait" paperSize="9" scale="92" r:id="rId1"/>
  <headerFooter alignWithMargins="0">
    <oddHeader>&amp;LFachgruppe für kantonale Finanzfragen (FkF)
Groupe d'étude pour les finances cantonales&amp;RZürich, 12.9.2013</oddHeader>
    <oddFooter>&amp;LQuelle/Source: FkF Sept.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6.00390625" style="0" customWidth="1"/>
    <col min="4" max="4" width="8.7109375" style="0" customWidth="1"/>
    <col min="6" max="6" width="7.421875" style="0" customWidth="1"/>
    <col min="8" max="8" width="6.8515625" style="0" customWidth="1"/>
  </cols>
  <sheetData>
    <row r="1" spans="1:9" ht="12.75">
      <c r="A1" s="5" t="s">
        <v>20</v>
      </c>
      <c r="B1" s="6" t="s">
        <v>106</v>
      </c>
      <c r="C1" s="57" t="s">
        <v>22</v>
      </c>
      <c r="D1" s="7" t="s">
        <v>23</v>
      </c>
      <c r="E1" s="57" t="s">
        <v>24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 t="s">
        <v>27</v>
      </c>
      <c r="F3" s="134">
        <v>0</v>
      </c>
      <c r="G3" s="135" t="s">
        <v>27</v>
      </c>
      <c r="H3" s="134">
        <v>0</v>
      </c>
      <c r="I3" s="115" t="s">
        <v>27</v>
      </c>
    </row>
    <row r="4" spans="1:9" ht="12.75">
      <c r="A4" s="5" t="s">
        <v>28</v>
      </c>
      <c r="B4" s="9" t="s">
        <v>29</v>
      </c>
      <c r="C4" s="10">
        <v>102857</v>
      </c>
      <c r="D4" s="11"/>
      <c r="E4" s="10"/>
      <c r="F4" s="11"/>
      <c r="G4" s="10"/>
      <c r="H4" s="11"/>
      <c r="I4" s="12"/>
    </row>
    <row r="5" spans="1:9" ht="12.75">
      <c r="A5" s="13" t="s">
        <v>30</v>
      </c>
      <c r="B5" s="14" t="s">
        <v>31</v>
      </c>
      <c r="C5" s="15">
        <v>52730</v>
      </c>
      <c r="D5" s="16"/>
      <c r="E5" s="15"/>
      <c r="F5" s="16"/>
      <c r="G5" s="15"/>
      <c r="H5" s="16"/>
      <c r="I5" s="17"/>
    </row>
    <row r="6" spans="1:9" ht="12.75">
      <c r="A6" s="13" t="s">
        <v>32</v>
      </c>
      <c r="B6" s="14" t="s">
        <v>33</v>
      </c>
      <c r="C6" s="15">
        <v>14356</v>
      </c>
      <c r="D6" s="16"/>
      <c r="E6" s="15"/>
      <c r="F6" s="16"/>
      <c r="G6" s="15"/>
      <c r="H6" s="16"/>
      <c r="I6" s="17"/>
    </row>
    <row r="7" spans="1:9" ht="12.75">
      <c r="A7" s="13" t="s">
        <v>34</v>
      </c>
      <c r="B7" s="14" t="s">
        <v>35</v>
      </c>
      <c r="C7" s="15">
        <v>2867</v>
      </c>
      <c r="D7" s="16"/>
      <c r="E7" s="15"/>
      <c r="F7" s="16"/>
      <c r="G7" s="15"/>
      <c r="H7" s="16"/>
      <c r="I7" s="17"/>
    </row>
    <row r="8" spans="1:9" ht="12.75">
      <c r="A8" s="13" t="s">
        <v>36</v>
      </c>
      <c r="B8" s="14" t="s">
        <v>37</v>
      </c>
      <c r="C8" s="15">
        <v>574</v>
      </c>
      <c r="D8" s="16"/>
      <c r="E8" s="15"/>
      <c r="F8" s="16"/>
      <c r="G8" s="15"/>
      <c r="H8" s="16"/>
      <c r="I8" s="17"/>
    </row>
    <row r="9" spans="1:9" ht="12.75">
      <c r="A9" s="13" t="s">
        <v>38</v>
      </c>
      <c r="B9" s="14" t="s">
        <v>39</v>
      </c>
      <c r="C9" s="15">
        <v>16470</v>
      </c>
      <c r="D9" s="16"/>
      <c r="E9" s="15"/>
      <c r="F9" s="16"/>
      <c r="G9" s="15"/>
      <c r="H9" s="16"/>
      <c r="I9" s="17"/>
    </row>
    <row r="10" spans="1:9" ht="12.75">
      <c r="A10" s="13" t="s">
        <v>40</v>
      </c>
      <c r="B10" s="14" t="s">
        <v>41</v>
      </c>
      <c r="C10" s="15">
        <v>180369</v>
      </c>
      <c r="D10" s="16"/>
      <c r="E10" s="15"/>
      <c r="F10" s="16"/>
      <c r="G10" s="15"/>
      <c r="H10" s="16"/>
      <c r="I10" s="17"/>
    </row>
    <row r="11" spans="1:9" ht="12.75">
      <c r="A11" s="13" t="s">
        <v>42</v>
      </c>
      <c r="B11" s="14" t="s">
        <v>43</v>
      </c>
      <c r="C11" s="15">
        <v>17070</v>
      </c>
      <c r="D11" s="43"/>
      <c r="E11" s="15"/>
      <c r="F11" s="16"/>
      <c r="G11" s="15"/>
      <c r="H11" s="16"/>
      <c r="I11" s="17"/>
    </row>
    <row r="12" spans="1:9" ht="12.75">
      <c r="A12" s="13" t="s">
        <v>44</v>
      </c>
      <c r="B12" s="14" t="s">
        <v>45</v>
      </c>
      <c r="C12" s="15">
        <v>9860</v>
      </c>
      <c r="D12" s="43"/>
      <c r="E12" s="15"/>
      <c r="F12" s="16"/>
      <c r="G12" s="15"/>
      <c r="H12" s="16"/>
      <c r="I12" s="17"/>
    </row>
    <row r="13" spans="1:9" ht="12.75">
      <c r="A13" s="13" t="s">
        <v>46</v>
      </c>
      <c r="B13" s="14" t="s">
        <v>47</v>
      </c>
      <c r="C13" s="15">
        <v>31550</v>
      </c>
      <c r="D13" s="43"/>
      <c r="E13" s="15"/>
      <c r="F13" s="43"/>
      <c r="G13" s="15"/>
      <c r="H13" s="43"/>
      <c r="I13" s="17"/>
    </row>
    <row r="14" spans="1:9" ht="12.75">
      <c r="A14" s="13" t="s">
        <v>49</v>
      </c>
      <c r="B14" s="14" t="s">
        <v>50</v>
      </c>
      <c r="C14" s="15">
        <v>0</v>
      </c>
      <c r="D14" s="43"/>
      <c r="E14" s="15"/>
      <c r="F14" s="16"/>
      <c r="G14" s="15"/>
      <c r="H14" s="16"/>
      <c r="I14" s="17"/>
    </row>
    <row r="15" spans="1:9" ht="12.75">
      <c r="A15" s="13" t="s">
        <v>51</v>
      </c>
      <c r="B15" s="14" t="s">
        <v>52</v>
      </c>
      <c r="C15" s="15">
        <v>0</v>
      </c>
      <c r="D15" s="43"/>
      <c r="E15" s="15"/>
      <c r="F15" s="16"/>
      <c r="G15" s="15"/>
      <c r="H15" s="16"/>
      <c r="I15" s="17"/>
    </row>
    <row r="16" spans="1:9" ht="12.75">
      <c r="A16" s="13" t="s">
        <v>53</v>
      </c>
      <c r="B16" s="14" t="s">
        <v>54</v>
      </c>
      <c r="C16" s="15">
        <v>27459</v>
      </c>
      <c r="D16" s="43"/>
      <c r="E16" s="15"/>
      <c r="F16" s="43"/>
      <c r="G16" s="15"/>
      <c r="H16" s="43"/>
      <c r="I16" s="17"/>
    </row>
    <row r="17" spans="1:9" ht="12.75">
      <c r="A17" s="13" t="s">
        <v>55</v>
      </c>
      <c r="B17" s="14" t="s">
        <v>56</v>
      </c>
      <c r="C17" s="15">
        <v>2708</v>
      </c>
      <c r="D17" s="16"/>
      <c r="E17" s="15"/>
      <c r="F17" s="16"/>
      <c r="G17" s="15"/>
      <c r="H17" s="16"/>
      <c r="I17" s="17"/>
    </row>
    <row r="18" spans="1:9" ht="12.75">
      <c r="A18" s="13">
        <v>389</v>
      </c>
      <c r="B18" s="14" t="s">
        <v>57</v>
      </c>
      <c r="C18" s="15">
        <v>0</v>
      </c>
      <c r="D18" s="43"/>
      <c r="E18" s="15"/>
      <c r="F18" s="43"/>
      <c r="G18" s="15"/>
      <c r="H18" s="43"/>
      <c r="I18" s="17"/>
    </row>
    <row r="19" spans="1:9" ht="12.75">
      <c r="A19" s="18" t="s">
        <v>58</v>
      </c>
      <c r="B19" s="19" t="s">
        <v>59</v>
      </c>
      <c r="C19" s="20">
        <v>19308</v>
      </c>
      <c r="D19" s="43"/>
      <c r="E19" s="20"/>
      <c r="F19" s="43"/>
      <c r="G19" s="20"/>
      <c r="H19" s="43"/>
      <c r="I19" s="21"/>
    </row>
    <row r="20" spans="1:9" ht="12.75">
      <c r="A20" s="22" t="s">
        <v>60</v>
      </c>
      <c r="B20" s="23" t="s">
        <v>61</v>
      </c>
      <c r="C20" s="24">
        <v>377883</v>
      </c>
      <c r="D20" s="25"/>
      <c r="E20" s="24"/>
      <c r="F20" s="25"/>
      <c r="G20" s="24"/>
      <c r="H20" s="25"/>
      <c r="I20" s="26"/>
    </row>
    <row r="21" spans="1:9" ht="12.75">
      <c r="A21" s="27" t="s">
        <v>62</v>
      </c>
      <c r="B21" s="28" t="s">
        <v>63</v>
      </c>
      <c r="C21" s="10">
        <v>64949</v>
      </c>
      <c r="D21" s="16"/>
      <c r="E21" s="10"/>
      <c r="F21" s="16"/>
      <c r="G21" s="10"/>
      <c r="H21" s="16"/>
      <c r="I21" s="12"/>
    </row>
    <row r="22" spans="1:9" ht="12.75">
      <c r="A22" s="8" t="s">
        <v>64</v>
      </c>
      <c r="B22" s="29" t="s">
        <v>65</v>
      </c>
      <c r="C22" s="15">
        <v>10464</v>
      </c>
      <c r="D22" s="16"/>
      <c r="E22" s="15"/>
      <c r="F22" s="16"/>
      <c r="G22" s="15"/>
      <c r="H22" s="16"/>
      <c r="I22" s="17"/>
    </row>
    <row r="23" spans="1:9" ht="12.75">
      <c r="A23" s="8" t="s">
        <v>66</v>
      </c>
      <c r="B23" s="29" t="s">
        <v>67</v>
      </c>
      <c r="C23" s="15">
        <v>10867</v>
      </c>
      <c r="D23" s="16"/>
      <c r="E23" s="15"/>
      <c r="F23" s="16"/>
      <c r="G23" s="15"/>
      <c r="H23" s="16"/>
      <c r="I23" s="17"/>
    </row>
    <row r="24" spans="1:9" ht="12.75">
      <c r="A24" s="8" t="s">
        <v>68</v>
      </c>
      <c r="B24" s="29" t="s">
        <v>69</v>
      </c>
      <c r="C24" s="15">
        <v>61664</v>
      </c>
      <c r="D24" s="16"/>
      <c r="E24" s="15"/>
      <c r="F24" s="16"/>
      <c r="G24" s="15"/>
      <c r="H24" s="16"/>
      <c r="I24" s="17"/>
    </row>
    <row r="25" spans="1:9" ht="12.75">
      <c r="A25" s="8" t="s">
        <v>70</v>
      </c>
      <c r="B25" s="29" t="s">
        <v>71</v>
      </c>
      <c r="C25" s="15">
        <v>216448</v>
      </c>
      <c r="D25" s="16"/>
      <c r="E25" s="15"/>
      <c r="F25" s="16"/>
      <c r="G25" s="15"/>
      <c r="H25" s="16"/>
      <c r="I25" s="17"/>
    </row>
    <row r="26" spans="1:9" ht="12.75">
      <c r="A26" s="59" t="s">
        <v>72</v>
      </c>
      <c r="B26" s="29" t="s">
        <v>73</v>
      </c>
      <c r="C26" s="15">
        <v>5077</v>
      </c>
      <c r="D26" s="16"/>
      <c r="E26" s="15"/>
      <c r="F26" s="16"/>
      <c r="G26" s="15"/>
      <c r="H26" s="16"/>
      <c r="I26" s="17"/>
    </row>
    <row r="27" spans="1:9" ht="12.75">
      <c r="A27" s="195">
        <v>489</v>
      </c>
      <c r="B27" s="29" t="s">
        <v>74</v>
      </c>
      <c r="C27" s="15">
        <v>0</v>
      </c>
      <c r="D27" s="16"/>
      <c r="E27" s="15"/>
      <c r="F27" s="16"/>
      <c r="G27" s="15"/>
      <c r="H27" s="16"/>
      <c r="I27" s="17"/>
    </row>
    <row r="28" spans="1:9" ht="12.75">
      <c r="A28" s="30" t="s">
        <v>75</v>
      </c>
      <c r="B28" s="31" t="s">
        <v>76</v>
      </c>
      <c r="C28" s="20">
        <v>19308</v>
      </c>
      <c r="D28" s="16"/>
      <c r="E28" s="20"/>
      <c r="F28" s="16"/>
      <c r="G28" s="20"/>
      <c r="H28" s="16"/>
      <c r="I28" s="21"/>
    </row>
    <row r="29" spans="1:9" ht="12.75">
      <c r="A29" s="51" t="s">
        <v>77</v>
      </c>
      <c r="B29" s="52" t="s">
        <v>78</v>
      </c>
      <c r="C29" s="24">
        <v>388777</v>
      </c>
      <c r="D29" s="53"/>
      <c r="E29" s="24"/>
      <c r="F29" s="53"/>
      <c r="G29" s="24"/>
      <c r="H29" s="54"/>
      <c r="I29" s="26"/>
    </row>
    <row r="30" spans="1:9" ht="12.75">
      <c r="A30" s="50" t="s">
        <v>79</v>
      </c>
      <c r="B30" s="32" t="s">
        <v>80</v>
      </c>
      <c r="C30" s="33">
        <v>10894</v>
      </c>
      <c r="D30" s="136"/>
      <c r="E30" s="33"/>
      <c r="F30" s="136"/>
      <c r="G30" s="34"/>
      <c r="H30" s="137"/>
      <c r="I30" s="35"/>
    </row>
    <row r="31" spans="1:9" ht="12.75">
      <c r="A31" s="140">
        <v>0</v>
      </c>
      <c r="B31" s="28" t="s">
        <v>81</v>
      </c>
      <c r="C31" s="138">
        <v>0</v>
      </c>
      <c r="D31" s="143"/>
      <c r="E31" s="138"/>
      <c r="F31" s="143"/>
      <c r="G31" s="138"/>
      <c r="H31" s="138"/>
      <c r="I31" s="139"/>
    </row>
    <row r="32" spans="1:9" ht="12.75">
      <c r="A32" s="59" t="s">
        <v>82</v>
      </c>
      <c r="B32" s="29" t="s">
        <v>83</v>
      </c>
      <c r="C32" s="15">
        <v>47685</v>
      </c>
      <c r="D32" s="16"/>
      <c r="E32" s="15"/>
      <c r="F32" s="16"/>
      <c r="G32" s="15"/>
      <c r="H32" s="16"/>
      <c r="I32" s="17"/>
    </row>
    <row r="33" spans="1:9" ht="12.75">
      <c r="A33" s="59" t="s">
        <v>84</v>
      </c>
      <c r="B33" s="29" t="s">
        <v>85</v>
      </c>
      <c r="C33" s="15">
        <v>1063</v>
      </c>
      <c r="D33" s="16"/>
      <c r="E33" s="15"/>
      <c r="F33" s="16"/>
      <c r="G33" s="15"/>
      <c r="H33" s="16"/>
      <c r="I33" s="17"/>
    </row>
    <row r="34" spans="1:9" ht="12.75">
      <c r="A34" s="8" t="s">
        <v>86</v>
      </c>
      <c r="B34" s="29" t="s">
        <v>87</v>
      </c>
      <c r="C34" s="15">
        <v>16197</v>
      </c>
      <c r="D34" s="16"/>
      <c r="E34" s="15"/>
      <c r="F34" s="16"/>
      <c r="G34" s="15"/>
      <c r="H34" s="16"/>
      <c r="I34" s="17"/>
    </row>
    <row r="35" spans="1:9" ht="12.75">
      <c r="A35" s="51" t="s">
        <v>88</v>
      </c>
      <c r="B35" s="52" t="s">
        <v>89</v>
      </c>
      <c r="C35" s="24">
        <v>64945</v>
      </c>
      <c r="D35" s="54"/>
      <c r="E35" s="24"/>
      <c r="F35" s="54"/>
      <c r="G35" s="24"/>
      <c r="H35" s="54"/>
      <c r="I35" s="26"/>
    </row>
    <row r="36" spans="1:9" ht="12.75">
      <c r="A36" s="8" t="s">
        <v>90</v>
      </c>
      <c r="B36" s="29" t="s">
        <v>91</v>
      </c>
      <c r="C36" s="15">
        <v>0</v>
      </c>
      <c r="D36" s="16"/>
      <c r="E36" s="15"/>
      <c r="F36" s="16"/>
      <c r="G36" s="15"/>
      <c r="H36" s="16"/>
      <c r="I36" s="17"/>
    </row>
    <row r="37" spans="1:9" ht="12.75">
      <c r="A37" s="8" t="s">
        <v>92</v>
      </c>
      <c r="B37" s="29" t="s">
        <v>93</v>
      </c>
      <c r="C37" s="15">
        <v>40117</v>
      </c>
      <c r="D37" s="16"/>
      <c r="E37" s="15"/>
      <c r="F37" s="16"/>
      <c r="G37" s="15"/>
      <c r="H37" s="16"/>
      <c r="I37" s="17"/>
    </row>
    <row r="38" spans="1:9" ht="12.75">
      <c r="A38" s="51" t="s">
        <v>94</v>
      </c>
      <c r="B38" s="52" t="s">
        <v>95</v>
      </c>
      <c r="C38" s="24">
        <v>40117</v>
      </c>
      <c r="D38" s="54"/>
      <c r="E38" s="24"/>
      <c r="F38" s="54"/>
      <c r="G38" s="24"/>
      <c r="H38" s="54"/>
      <c r="I38" s="26"/>
    </row>
    <row r="39" spans="1:9" ht="12.75">
      <c r="A39" s="36" t="s">
        <v>96</v>
      </c>
      <c r="B39" s="37" t="s">
        <v>3</v>
      </c>
      <c r="C39" s="38">
        <v>24828</v>
      </c>
      <c r="D39" s="39"/>
      <c r="E39" s="38"/>
      <c r="F39" s="39"/>
      <c r="G39" s="38"/>
      <c r="H39" s="39"/>
      <c r="I39" s="40"/>
    </row>
    <row r="40" spans="1:9" ht="12.75">
      <c r="A40" s="131" t="s">
        <v>0</v>
      </c>
      <c r="B40" s="29" t="s">
        <v>97</v>
      </c>
      <c r="C40" s="15">
        <v>27364</v>
      </c>
      <c r="D40" s="16"/>
      <c r="E40" s="15"/>
      <c r="F40" s="16"/>
      <c r="G40" s="15"/>
      <c r="H40" s="16"/>
      <c r="I40" s="17"/>
    </row>
    <row r="41" spans="1:9" ht="12.75">
      <c r="A41" s="131" t="s">
        <v>0</v>
      </c>
      <c r="B41" s="29" t="s">
        <v>98</v>
      </c>
      <c r="C41" s="15">
        <v>2536</v>
      </c>
      <c r="D41" s="16"/>
      <c r="E41" s="15"/>
      <c r="F41" s="16"/>
      <c r="G41" s="15"/>
      <c r="H41" s="16"/>
      <c r="I41" s="17"/>
    </row>
    <row r="42" spans="1:9" ht="12.75">
      <c r="A42" s="141" t="s">
        <v>0</v>
      </c>
      <c r="B42" s="31" t="s">
        <v>99</v>
      </c>
      <c r="C42" s="20">
        <v>403768</v>
      </c>
      <c r="D42" s="129"/>
      <c r="E42" s="20"/>
      <c r="F42" s="129"/>
      <c r="G42" s="20"/>
      <c r="H42" s="129"/>
      <c r="I42" s="21"/>
    </row>
    <row r="43" spans="1:9" ht="12.75">
      <c r="A43" s="141">
        <v>0</v>
      </c>
      <c r="B43" s="31" t="s">
        <v>5</v>
      </c>
      <c r="C43" s="66">
        <v>1.10214274206541</v>
      </c>
      <c r="D43" s="142"/>
      <c r="E43" s="41"/>
      <c r="F43" s="142"/>
      <c r="G43" s="41"/>
      <c r="H43" s="142"/>
      <c r="I43" s="4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86"/>
  <sheetViews>
    <sheetView zoomScale="115" zoomScaleNormal="115" zoomScalePageLayoutView="0" workbookViewId="0" topLeftCell="A1">
      <selection activeCell="A1" sqref="A1:G186"/>
    </sheetView>
  </sheetViews>
  <sheetFormatPr defaultColWidth="11.421875" defaultRowHeight="12.75"/>
  <cols>
    <col min="1" max="1" width="16.7109375" style="252" customWidth="1"/>
    <col min="2" max="2" width="3.7109375" style="252" customWidth="1"/>
    <col min="3" max="3" width="39.7109375" style="252" customWidth="1"/>
    <col min="4" max="4" width="12.7109375" style="252" customWidth="1"/>
    <col min="5" max="5" width="11.421875" style="252" customWidth="1"/>
    <col min="6" max="6" width="12.7109375" style="252" customWidth="1"/>
    <col min="7" max="16384" width="11.421875" style="252" customWidth="1"/>
  </cols>
  <sheetData>
    <row r="1" spans="1:55" s="243" customFormat="1" ht="18" customHeight="1">
      <c r="A1" s="476" t="s">
        <v>220</v>
      </c>
      <c r="B1" s="477" t="s">
        <v>449</v>
      </c>
      <c r="C1" s="477" t="s">
        <v>106</v>
      </c>
      <c r="D1" s="241" t="s">
        <v>22</v>
      </c>
      <c r="E1" s="240" t="s">
        <v>105</v>
      </c>
      <c r="F1" s="241" t="s">
        <v>22</v>
      </c>
      <c r="G1" s="240" t="s">
        <v>105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7" s="249" customFormat="1" ht="15" customHeight="1">
      <c r="A2" s="244"/>
      <c r="B2" s="245"/>
      <c r="C2" s="246" t="s">
        <v>222</v>
      </c>
      <c r="D2" s="248">
        <v>2011</v>
      </c>
      <c r="E2" s="247">
        <v>2012</v>
      </c>
      <c r="F2" s="248">
        <v>2012</v>
      </c>
      <c r="G2" s="247">
        <v>2013</v>
      </c>
    </row>
    <row r="3" spans="1:7" ht="15" customHeight="1">
      <c r="A3" s="609" t="s">
        <v>223</v>
      </c>
      <c r="B3" s="610"/>
      <c r="C3" s="610"/>
      <c r="D3" s="250"/>
      <c r="F3" s="250"/>
      <c r="G3" s="253" t="s">
        <v>103</v>
      </c>
    </row>
    <row r="4" spans="1:7" s="260" customFormat="1" ht="12.75" customHeight="1">
      <c r="A4" s="479">
        <v>30</v>
      </c>
      <c r="B4" s="480"/>
      <c r="C4" s="256" t="s">
        <v>29</v>
      </c>
      <c r="D4" s="257"/>
      <c r="E4" s="257">
        <v>100828.45</v>
      </c>
      <c r="F4" s="258">
        <v>100649.915</v>
      </c>
      <c r="G4" s="259">
        <v>101983.79</v>
      </c>
    </row>
    <row r="5" spans="1:7" s="260" customFormat="1" ht="12.75" customHeight="1">
      <c r="A5" s="261">
        <v>31</v>
      </c>
      <c r="B5" s="262"/>
      <c r="C5" s="263" t="s">
        <v>224</v>
      </c>
      <c r="D5" s="264"/>
      <c r="E5" s="264">
        <v>55064.972</v>
      </c>
      <c r="F5" s="266">
        <v>54073.151</v>
      </c>
      <c r="G5" s="267">
        <v>55992.025</v>
      </c>
    </row>
    <row r="6" spans="1:7" s="260" customFormat="1" ht="12.75" customHeight="1">
      <c r="A6" s="268" t="s">
        <v>32</v>
      </c>
      <c r="B6" s="269"/>
      <c r="C6" s="270" t="s">
        <v>225</v>
      </c>
      <c r="D6" s="271"/>
      <c r="E6" s="271">
        <v>6790.3</v>
      </c>
      <c r="F6" s="272">
        <v>7977.295</v>
      </c>
      <c r="G6" s="273">
        <v>6712.2</v>
      </c>
    </row>
    <row r="7" spans="1:7" s="260" customFormat="1" ht="12.75" customHeight="1">
      <c r="A7" s="268" t="s">
        <v>226</v>
      </c>
      <c r="B7" s="269"/>
      <c r="C7" s="270" t="s">
        <v>227</v>
      </c>
      <c r="D7" s="271"/>
      <c r="E7" s="271">
        <v>0</v>
      </c>
      <c r="F7" s="272">
        <v>-20</v>
      </c>
      <c r="G7" s="273">
        <v>0</v>
      </c>
    </row>
    <row r="8" spans="1:7" s="260" customFormat="1" ht="12.75" customHeight="1">
      <c r="A8" s="274">
        <v>330</v>
      </c>
      <c r="B8" s="262"/>
      <c r="C8" s="263" t="s">
        <v>228</v>
      </c>
      <c r="D8" s="275"/>
      <c r="E8" s="275">
        <v>8581</v>
      </c>
      <c r="F8" s="266">
        <v>5315.549</v>
      </c>
      <c r="G8" s="276">
        <v>5083.646</v>
      </c>
    </row>
    <row r="9" spans="1:7" s="260" customFormat="1" ht="12.75" customHeight="1">
      <c r="A9" s="274">
        <v>332</v>
      </c>
      <c r="B9" s="262"/>
      <c r="C9" s="263" t="s">
        <v>229</v>
      </c>
      <c r="D9" s="275"/>
      <c r="E9" s="275">
        <v>577.9</v>
      </c>
      <c r="F9" s="266">
        <v>1009.323</v>
      </c>
      <c r="G9" s="276">
        <v>766.54</v>
      </c>
    </row>
    <row r="10" spans="1:7" s="260" customFormat="1" ht="12.75" customHeight="1">
      <c r="A10" s="274">
        <v>339</v>
      </c>
      <c r="B10" s="262"/>
      <c r="C10" s="263" t="s">
        <v>230</v>
      </c>
      <c r="D10" s="275">
        <v>0</v>
      </c>
      <c r="E10" s="275">
        <v>0</v>
      </c>
      <c r="F10" s="266">
        <v>0</v>
      </c>
      <c r="G10" s="276">
        <v>0</v>
      </c>
    </row>
    <row r="11" spans="1:7" s="260" customFormat="1" ht="12.75" customHeight="1">
      <c r="A11" s="261">
        <v>350</v>
      </c>
      <c r="B11" s="262"/>
      <c r="C11" s="263" t="s">
        <v>231</v>
      </c>
      <c r="D11" s="275">
        <v>0</v>
      </c>
      <c r="E11" s="275">
        <v>0</v>
      </c>
      <c r="F11" s="275">
        <v>271.188</v>
      </c>
      <c r="G11" s="277">
        <v>42.9</v>
      </c>
    </row>
    <row r="12" spans="1:7" s="285" customFormat="1" ht="12.75">
      <c r="A12" s="278">
        <v>351</v>
      </c>
      <c r="B12" s="279"/>
      <c r="C12" s="280" t="s">
        <v>232</v>
      </c>
      <c r="D12" s="346"/>
      <c r="E12" s="282">
        <v>764.62</v>
      </c>
      <c r="F12" s="283">
        <v>2628.973</v>
      </c>
      <c r="G12" s="482">
        <v>1102.7</v>
      </c>
    </row>
    <row r="13" spans="1:7" s="260" customFormat="1" ht="12.75" customHeight="1">
      <c r="A13" s="261">
        <v>36</v>
      </c>
      <c r="B13" s="262"/>
      <c r="C13" s="263" t="s">
        <v>233</v>
      </c>
      <c r="D13" s="275"/>
      <c r="E13" s="264">
        <v>172304.699</v>
      </c>
      <c r="F13" s="286">
        <v>172953.539</v>
      </c>
      <c r="G13" s="276">
        <v>178394.783</v>
      </c>
    </row>
    <row r="14" spans="1:7" s="260" customFormat="1" ht="12.75" customHeight="1">
      <c r="A14" s="287" t="s">
        <v>234</v>
      </c>
      <c r="B14" s="262"/>
      <c r="C14" s="288" t="s">
        <v>235</v>
      </c>
      <c r="D14" s="275"/>
      <c r="E14" s="323">
        <v>9006.8</v>
      </c>
      <c r="F14" s="286">
        <v>8306.582</v>
      </c>
      <c r="G14" s="276">
        <v>8516</v>
      </c>
    </row>
    <row r="15" spans="1:7" s="260" customFormat="1" ht="12.75" customHeight="1">
      <c r="A15" s="287" t="s">
        <v>236</v>
      </c>
      <c r="B15" s="262"/>
      <c r="C15" s="288" t="s">
        <v>237</v>
      </c>
      <c r="D15" s="275"/>
      <c r="E15" s="323">
        <v>13919.03</v>
      </c>
      <c r="F15" s="286">
        <v>6488.846</v>
      </c>
      <c r="G15" s="276">
        <v>15939.94</v>
      </c>
    </row>
    <row r="16" spans="1:7" s="297" customFormat="1" ht="26.25" customHeight="1">
      <c r="A16" s="287" t="s">
        <v>238</v>
      </c>
      <c r="B16" s="483"/>
      <c r="C16" s="288" t="s">
        <v>239</v>
      </c>
      <c r="D16" s="293"/>
      <c r="E16" s="294">
        <v>2317.9</v>
      </c>
      <c r="F16" s="295">
        <v>5917.621</v>
      </c>
      <c r="G16" s="296">
        <v>5290.068</v>
      </c>
    </row>
    <row r="17" spans="1:7" s="299" customFormat="1" ht="12.75">
      <c r="A17" s="261">
        <v>37</v>
      </c>
      <c r="B17" s="262"/>
      <c r="C17" s="263" t="s">
        <v>240</v>
      </c>
      <c r="D17" s="316"/>
      <c r="E17" s="264">
        <v>27469.7</v>
      </c>
      <c r="F17" s="286">
        <v>27502.294</v>
      </c>
      <c r="G17" s="298">
        <v>27438.5</v>
      </c>
    </row>
    <row r="18" spans="1:7" s="299" customFormat="1" ht="12.75">
      <c r="A18" s="322" t="s">
        <v>241</v>
      </c>
      <c r="B18" s="269"/>
      <c r="C18" s="270" t="s">
        <v>242</v>
      </c>
      <c r="D18" s="485"/>
      <c r="E18" s="323">
        <v>0</v>
      </c>
      <c r="F18" s="286">
        <v>0</v>
      </c>
      <c r="G18" s="298">
        <v>0</v>
      </c>
    </row>
    <row r="19" spans="1:7" s="299" customFormat="1" ht="12.75">
      <c r="A19" s="322" t="s">
        <v>243</v>
      </c>
      <c r="B19" s="269"/>
      <c r="C19" s="270" t="s">
        <v>244</v>
      </c>
      <c r="D19" s="485"/>
      <c r="E19" s="323">
        <v>26819.7</v>
      </c>
      <c r="F19" s="286">
        <v>26422.672</v>
      </c>
      <c r="G19" s="298">
        <v>26838.5</v>
      </c>
    </row>
    <row r="20" spans="1:7" s="260" customFormat="1" ht="12.75" customHeight="1">
      <c r="A20" s="301">
        <v>39</v>
      </c>
      <c r="B20" s="302"/>
      <c r="C20" s="303" t="s">
        <v>245</v>
      </c>
      <c r="D20" s="306"/>
      <c r="E20" s="304">
        <v>15041.55</v>
      </c>
      <c r="F20" s="307">
        <v>15724.873</v>
      </c>
      <c r="G20" s="308">
        <v>16357.335</v>
      </c>
    </row>
    <row r="21" spans="1:7" ht="12.75" customHeight="1">
      <c r="A21" s="309"/>
      <c r="B21" s="309"/>
      <c r="C21" s="310" t="s">
        <v>246</v>
      </c>
      <c r="D21" s="311">
        <f>D4+D5+SUM(D8:D13)+D17</f>
        <v>0</v>
      </c>
      <c r="E21" s="311">
        <f>E4+E5+SUM(E8:E13)+E17</f>
        <v>365591.34099999996</v>
      </c>
      <c r="F21" s="311">
        <f>F4+F5+SUM(F8:F13)+F17</f>
        <v>364403.932</v>
      </c>
      <c r="G21" s="311">
        <f>G4+G5+SUM(G8:G13)+G17</f>
        <v>370804.88399999996</v>
      </c>
    </row>
    <row r="22" spans="1:7" s="260" customFormat="1" ht="12.75" customHeight="1">
      <c r="A22" s="274" t="s">
        <v>247</v>
      </c>
      <c r="B22" s="262"/>
      <c r="C22" s="263" t="s">
        <v>248</v>
      </c>
      <c r="D22" s="275"/>
      <c r="E22" s="275">
        <v>66042.8</v>
      </c>
      <c r="F22" s="266">
        <v>62459.986</v>
      </c>
      <c r="G22" s="276">
        <v>65252.8</v>
      </c>
    </row>
    <row r="23" spans="1:7" s="260" customFormat="1" ht="12.75" customHeight="1">
      <c r="A23" s="274" t="s">
        <v>249</v>
      </c>
      <c r="B23" s="262"/>
      <c r="C23" s="263" t="s">
        <v>250</v>
      </c>
      <c r="D23" s="275"/>
      <c r="E23" s="275">
        <v>13093</v>
      </c>
      <c r="F23" s="266">
        <v>15337.096</v>
      </c>
      <c r="G23" s="276">
        <v>13896</v>
      </c>
    </row>
    <row r="24" spans="1:7" s="313" customFormat="1" ht="12.75" customHeight="1">
      <c r="A24" s="261">
        <v>41</v>
      </c>
      <c r="B24" s="262"/>
      <c r="C24" s="263" t="s">
        <v>251</v>
      </c>
      <c r="D24" s="275"/>
      <c r="E24" s="275">
        <v>31701.5</v>
      </c>
      <c r="F24" s="266">
        <v>29996.255</v>
      </c>
      <c r="G24" s="276">
        <v>30704.5</v>
      </c>
    </row>
    <row r="25" spans="1:7" s="260" customFormat="1" ht="12.75" customHeight="1">
      <c r="A25" s="314">
        <v>42</v>
      </c>
      <c r="B25" s="315"/>
      <c r="C25" s="263" t="s">
        <v>252</v>
      </c>
      <c r="D25" s="275"/>
      <c r="E25" s="275">
        <v>21218.76</v>
      </c>
      <c r="F25" s="266">
        <v>24198.915</v>
      </c>
      <c r="G25" s="276">
        <v>23404.66</v>
      </c>
    </row>
    <row r="26" spans="1:7" s="318" customFormat="1" ht="12.75" customHeight="1">
      <c r="A26" s="278">
        <v>430</v>
      </c>
      <c r="B26" s="262"/>
      <c r="C26" s="263" t="s">
        <v>253</v>
      </c>
      <c r="D26" s="316"/>
      <c r="E26" s="316">
        <v>737.5</v>
      </c>
      <c r="F26" s="317">
        <v>523.189</v>
      </c>
      <c r="G26" s="298">
        <v>292</v>
      </c>
    </row>
    <row r="27" spans="1:7" s="318" customFormat="1" ht="12.75" customHeight="1">
      <c r="A27" s="278">
        <v>431</v>
      </c>
      <c r="B27" s="262"/>
      <c r="C27" s="263" t="s">
        <v>254</v>
      </c>
      <c r="D27" s="316"/>
      <c r="E27" s="316">
        <v>806</v>
      </c>
      <c r="F27" s="317">
        <v>881.96</v>
      </c>
      <c r="G27" s="298">
        <v>766</v>
      </c>
    </row>
    <row r="28" spans="1:7" s="318" customFormat="1" ht="12.75" customHeight="1">
      <c r="A28" s="278">
        <v>432</v>
      </c>
      <c r="B28" s="262"/>
      <c r="C28" s="263" t="s">
        <v>255</v>
      </c>
      <c r="D28" s="316"/>
      <c r="E28" s="316">
        <v>0</v>
      </c>
      <c r="F28" s="317">
        <v>0</v>
      </c>
      <c r="G28" s="298">
        <v>0</v>
      </c>
    </row>
    <row r="29" spans="1:7" s="318" customFormat="1" ht="12.75" customHeight="1">
      <c r="A29" s="278">
        <v>439</v>
      </c>
      <c r="B29" s="262"/>
      <c r="C29" s="263" t="s">
        <v>256</v>
      </c>
      <c r="D29" s="316"/>
      <c r="E29" s="316">
        <v>0</v>
      </c>
      <c r="F29" s="317">
        <v>0</v>
      </c>
      <c r="G29" s="298">
        <v>0</v>
      </c>
    </row>
    <row r="30" spans="1:7" s="260" customFormat="1" ht="25.5">
      <c r="A30" s="278">
        <v>450</v>
      </c>
      <c r="B30" s="279"/>
      <c r="C30" s="280" t="s">
        <v>257</v>
      </c>
      <c r="D30" s="264">
        <v>0</v>
      </c>
      <c r="E30" s="264">
        <v>175.2</v>
      </c>
      <c r="F30" s="264">
        <v>61.508</v>
      </c>
      <c r="G30" s="319">
        <v>107.7</v>
      </c>
    </row>
    <row r="31" spans="1:7" s="285" customFormat="1" ht="25.5">
      <c r="A31" s="278">
        <v>451</v>
      </c>
      <c r="B31" s="279"/>
      <c r="C31" s="280" t="s">
        <v>258</v>
      </c>
      <c r="D31" s="275"/>
      <c r="E31" s="281">
        <v>1116.4</v>
      </c>
      <c r="F31" s="320">
        <v>2537.076</v>
      </c>
      <c r="G31" s="321">
        <v>1986.85</v>
      </c>
    </row>
    <row r="32" spans="1:7" s="260" customFormat="1" ht="12.75" customHeight="1">
      <c r="A32" s="261">
        <v>46</v>
      </c>
      <c r="B32" s="262"/>
      <c r="C32" s="263" t="s">
        <v>259</v>
      </c>
      <c r="D32" s="275"/>
      <c r="E32" s="275">
        <v>193528.427</v>
      </c>
      <c r="F32" s="266">
        <v>195334.66</v>
      </c>
      <c r="G32" s="276">
        <v>198831.828</v>
      </c>
    </row>
    <row r="33" spans="1:7" s="285" customFormat="1" ht="12.75" customHeight="1">
      <c r="A33" s="322" t="s">
        <v>260</v>
      </c>
      <c r="B33" s="269"/>
      <c r="C33" s="270" t="s">
        <v>261</v>
      </c>
      <c r="D33" s="271"/>
      <c r="E33" s="275">
        <v>0</v>
      </c>
      <c r="F33" s="266">
        <v>0</v>
      </c>
      <c r="G33" s="273">
        <v>0</v>
      </c>
    </row>
    <row r="34" spans="1:7" s="260" customFormat="1" ht="15" customHeight="1">
      <c r="A34" s="261">
        <v>47</v>
      </c>
      <c r="B34" s="262"/>
      <c r="C34" s="263" t="s">
        <v>240</v>
      </c>
      <c r="D34" s="275"/>
      <c r="E34" s="275">
        <v>27469.7</v>
      </c>
      <c r="F34" s="266">
        <v>27502.294</v>
      </c>
      <c r="G34" s="276">
        <v>27438.5</v>
      </c>
    </row>
    <row r="35" spans="1:7" s="260" customFormat="1" ht="15" customHeight="1">
      <c r="A35" s="301">
        <v>49</v>
      </c>
      <c r="B35" s="302"/>
      <c r="C35" s="303" t="s">
        <v>262</v>
      </c>
      <c r="D35" s="306"/>
      <c r="E35" s="304">
        <v>15041.55</v>
      </c>
      <c r="F35" s="307">
        <v>15724.873</v>
      </c>
      <c r="G35" s="486">
        <v>16357.335</v>
      </c>
    </row>
    <row r="36" spans="1:7" ht="13.5" customHeight="1">
      <c r="A36" s="309"/>
      <c r="B36" s="335"/>
      <c r="C36" s="310" t="s">
        <v>263</v>
      </c>
      <c r="D36" s="311">
        <f>D22+D23+D24+D25+D26+D27+D28+D29+D30+D31+D32+D34</f>
        <v>0</v>
      </c>
      <c r="E36" s="311">
        <f>E22+E23+E24+E25+E26+E27+E28+E29+E30+E31+E32+E34</f>
        <v>355889.287</v>
      </c>
      <c r="F36" s="311">
        <f>F22+F23+F24+F25+F26+F27+F28+F29+F30+F31+F32+F34</f>
        <v>358832.939</v>
      </c>
      <c r="G36" s="311">
        <f>G22+G23+G24+G25+G26+G27+G28+G29+G30+G31+G32+G34</f>
        <v>362680.838</v>
      </c>
    </row>
    <row r="37" spans="1:7" s="487" customFormat="1" ht="15" customHeight="1">
      <c r="A37" s="309"/>
      <c r="B37" s="335"/>
      <c r="C37" s="310" t="s">
        <v>264</v>
      </c>
      <c r="D37" s="311">
        <f>D36-D21</f>
        <v>0</v>
      </c>
      <c r="E37" s="311">
        <f>E36-E21</f>
        <v>-9702.053999999946</v>
      </c>
      <c r="F37" s="311">
        <f>F36-F21</f>
        <v>-5570.992999999959</v>
      </c>
      <c r="G37" s="311">
        <f>G36-G21</f>
        <v>-8124.045999999973</v>
      </c>
    </row>
    <row r="38" spans="1:7" s="285" customFormat="1" ht="15" customHeight="1">
      <c r="A38" s="274">
        <v>340</v>
      </c>
      <c r="B38" s="262"/>
      <c r="C38" s="263" t="s">
        <v>265</v>
      </c>
      <c r="D38" s="316"/>
      <c r="E38" s="264">
        <v>2744.86</v>
      </c>
      <c r="F38" s="286">
        <v>2315.593</v>
      </c>
      <c r="G38" s="276">
        <v>2452.6</v>
      </c>
    </row>
    <row r="39" spans="1:7" s="285" customFormat="1" ht="15" customHeight="1">
      <c r="A39" s="274">
        <v>341</v>
      </c>
      <c r="B39" s="262"/>
      <c r="C39" s="263" t="s">
        <v>266</v>
      </c>
      <c r="D39" s="316"/>
      <c r="E39" s="275">
        <v>0</v>
      </c>
      <c r="F39" s="266">
        <v>0</v>
      </c>
      <c r="G39" s="276">
        <v>0</v>
      </c>
    </row>
    <row r="40" spans="1:7" s="285" customFormat="1" ht="15" customHeight="1">
      <c r="A40" s="274">
        <v>342</v>
      </c>
      <c r="B40" s="262"/>
      <c r="C40" s="263" t="s">
        <v>267</v>
      </c>
      <c r="D40" s="316"/>
      <c r="E40" s="275">
        <v>0</v>
      </c>
      <c r="F40" s="266">
        <v>0</v>
      </c>
      <c r="G40" s="276">
        <v>0</v>
      </c>
    </row>
    <row r="41" spans="1:7" s="285" customFormat="1" ht="15" customHeight="1">
      <c r="A41" s="274">
        <v>343</v>
      </c>
      <c r="B41" s="262"/>
      <c r="C41" s="263" t="s">
        <v>268</v>
      </c>
      <c r="D41" s="316"/>
      <c r="E41" s="275">
        <v>176</v>
      </c>
      <c r="F41" s="266">
        <v>118.234</v>
      </c>
      <c r="G41" s="276">
        <v>166</v>
      </c>
    </row>
    <row r="42" spans="1:7" s="285" customFormat="1" ht="15" customHeight="1">
      <c r="A42" s="274">
        <v>344</v>
      </c>
      <c r="B42" s="262"/>
      <c r="C42" s="263" t="s">
        <v>269</v>
      </c>
      <c r="D42" s="316"/>
      <c r="E42" s="275">
        <v>0</v>
      </c>
      <c r="F42" s="266">
        <v>192.5</v>
      </c>
      <c r="G42" s="276">
        <v>0</v>
      </c>
    </row>
    <row r="43" spans="1:7" s="285" customFormat="1" ht="15" customHeight="1">
      <c r="A43" s="274">
        <v>349</v>
      </c>
      <c r="B43" s="262"/>
      <c r="C43" s="263" t="s">
        <v>270</v>
      </c>
      <c r="D43" s="316"/>
      <c r="E43" s="275">
        <v>0</v>
      </c>
      <c r="F43" s="266">
        <v>0</v>
      </c>
      <c r="G43" s="276">
        <v>0</v>
      </c>
    </row>
    <row r="44" spans="1:7" s="260" customFormat="1" ht="15" customHeight="1">
      <c r="A44" s="261">
        <v>440</v>
      </c>
      <c r="B44" s="262"/>
      <c r="C44" s="263" t="s">
        <v>271</v>
      </c>
      <c r="D44" s="316"/>
      <c r="E44" s="264">
        <v>306</v>
      </c>
      <c r="F44" s="286">
        <v>540.876</v>
      </c>
      <c r="G44" s="276">
        <v>306</v>
      </c>
    </row>
    <row r="45" spans="1:7" s="260" customFormat="1" ht="15" customHeight="1">
      <c r="A45" s="261">
        <v>441</v>
      </c>
      <c r="B45" s="262"/>
      <c r="C45" s="263" t="s">
        <v>272</v>
      </c>
      <c r="D45" s="316"/>
      <c r="E45" s="264">
        <v>2565</v>
      </c>
      <c r="F45" s="286">
        <v>0</v>
      </c>
      <c r="G45" s="276">
        <v>3800</v>
      </c>
    </row>
    <row r="46" spans="1:7" s="260" customFormat="1" ht="15" customHeight="1">
      <c r="A46" s="261">
        <v>442</v>
      </c>
      <c r="B46" s="262"/>
      <c r="C46" s="263" t="s">
        <v>273</v>
      </c>
      <c r="D46" s="316"/>
      <c r="E46" s="264">
        <v>265</v>
      </c>
      <c r="F46" s="286">
        <v>140.73</v>
      </c>
      <c r="G46" s="276">
        <v>151</v>
      </c>
    </row>
    <row r="47" spans="1:7" s="260" customFormat="1" ht="15" customHeight="1">
      <c r="A47" s="261">
        <v>443</v>
      </c>
      <c r="B47" s="262"/>
      <c r="C47" s="263" t="s">
        <v>274</v>
      </c>
      <c r="D47" s="316"/>
      <c r="E47" s="264">
        <v>273.56</v>
      </c>
      <c r="F47" s="286">
        <v>262.372</v>
      </c>
      <c r="G47" s="276">
        <v>270.56</v>
      </c>
    </row>
    <row r="48" spans="1:7" s="260" customFormat="1" ht="15" customHeight="1">
      <c r="A48" s="261">
        <v>444</v>
      </c>
      <c r="B48" s="262"/>
      <c r="C48" s="263" t="s">
        <v>269</v>
      </c>
      <c r="D48" s="316"/>
      <c r="E48" s="264">
        <v>0</v>
      </c>
      <c r="F48" s="286">
        <v>180.547</v>
      </c>
      <c r="G48" s="276">
        <v>0</v>
      </c>
    </row>
    <row r="49" spans="1:7" s="260" customFormat="1" ht="15" customHeight="1">
      <c r="A49" s="261">
        <v>445</v>
      </c>
      <c r="B49" s="262"/>
      <c r="C49" s="263" t="s">
        <v>275</v>
      </c>
      <c r="D49" s="316"/>
      <c r="E49" s="264">
        <v>12</v>
      </c>
      <c r="F49" s="286">
        <v>119.405</v>
      </c>
      <c r="G49" s="276">
        <v>12</v>
      </c>
    </row>
    <row r="50" spans="1:7" s="260" customFormat="1" ht="15" customHeight="1">
      <c r="A50" s="261">
        <v>446</v>
      </c>
      <c r="B50" s="262"/>
      <c r="C50" s="263" t="s">
        <v>276</v>
      </c>
      <c r="D50" s="316"/>
      <c r="E50" s="264">
        <v>8899.7</v>
      </c>
      <c r="F50" s="286">
        <v>8692.378</v>
      </c>
      <c r="G50" s="276">
        <v>8649.4</v>
      </c>
    </row>
    <row r="51" spans="1:7" s="260" customFormat="1" ht="15" customHeight="1">
      <c r="A51" s="261">
        <v>447</v>
      </c>
      <c r="B51" s="262"/>
      <c r="C51" s="263" t="s">
        <v>277</v>
      </c>
      <c r="D51" s="316"/>
      <c r="E51" s="264">
        <v>2883.165</v>
      </c>
      <c r="F51" s="286">
        <v>2881.951</v>
      </c>
      <c r="G51" s="276">
        <v>2883.165</v>
      </c>
    </row>
    <row r="52" spans="1:7" s="260" customFormat="1" ht="15" customHeight="1">
      <c r="A52" s="261">
        <v>448</v>
      </c>
      <c r="B52" s="262"/>
      <c r="C52" s="263" t="s">
        <v>278</v>
      </c>
      <c r="D52" s="316"/>
      <c r="E52" s="264">
        <v>17.5</v>
      </c>
      <c r="F52" s="286">
        <v>14.025</v>
      </c>
      <c r="G52" s="276">
        <v>15.2</v>
      </c>
    </row>
    <row r="53" spans="1:7" s="260" customFormat="1" ht="15" customHeight="1">
      <c r="A53" s="261">
        <v>449</v>
      </c>
      <c r="B53" s="262"/>
      <c r="C53" s="263" t="s">
        <v>279</v>
      </c>
      <c r="D53" s="316"/>
      <c r="E53" s="264">
        <v>0</v>
      </c>
      <c r="F53" s="286">
        <v>0</v>
      </c>
      <c r="G53" s="276">
        <v>0</v>
      </c>
    </row>
    <row r="54" spans="1:7" s="285" customFormat="1" ht="13.5" customHeight="1">
      <c r="A54" s="329" t="s">
        <v>280</v>
      </c>
      <c r="B54" s="330"/>
      <c r="C54" s="330" t="s">
        <v>281</v>
      </c>
      <c r="D54" s="497"/>
      <c r="E54" s="332">
        <v>0</v>
      </c>
      <c r="F54" s="333">
        <v>0</v>
      </c>
      <c r="G54" s="334"/>
    </row>
    <row r="55" spans="1:7" ht="15" customHeight="1">
      <c r="A55" s="335"/>
      <c r="B55" s="335"/>
      <c r="C55" s="310" t="s">
        <v>282</v>
      </c>
      <c r="D55" s="311">
        <f>SUM(D44:D53)-SUM(D38:D43)</f>
        <v>0</v>
      </c>
      <c r="E55" s="311">
        <f>SUM(E44:E53)-SUM(E38:E43)</f>
        <v>12301.064999999999</v>
      </c>
      <c r="F55" s="311">
        <f>SUM(F44:F53)-SUM(F38:F43)</f>
        <v>10205.957000000002</v>
      </c>
      <c r="G55" s="311">
        <f>SUM(G44:G53)-SUM(G38:G43)</f>
        <v>13468.725</v>
      </c>
    </row>
    <row r="56" spans="1:7" ht="14.25" customHeight="1">
      <c r="A56" s="335"/>
      <c r="B56" s="335"/>
      <c r="C56" s="310" t="s">
        <v>283</v>
      </c>
      <c r="D56" s="311">
        <f>D55+D37</f>
        <v>0</v>
      </c>
      <c r="E56" s="311">
        <f>E55+E37</f>
        <v>2599.011000000053</v>
      </c>
      <c r="F56" s="311">
        <f>F55+F37</f>
        <v>4634.964000000044</v>
      </c>
      <c r="G56" s="311">
        <f>G55+G37</f>
        <v>5344.679000000027</v>
      </c>
    </row>
    <row r="57" spans="1:7" s="260" customFormat="1" ht="15.75" customHeight="1">
      <c r="A57" s="336">
        <v>380</v>
      </c>
      <c r="B57" s="337"/>
      <c r="C57" s="338" t="s">
        <v>284</v>
      </c>
      <c r="D57" s="340"/>
      <c r="E57" s="339">
        <v>0</v>
      </c>
      <c r="F57" s="340">
        <v>0</v>
      </c>
      <c r="G57" s="499">
        <v>0</v>
      </c>
    </row>
    <row r="58" spans="1:7" s="260" customFormat="1" ht="15.75" customHeight="1">
      <c r="A58" s="336">
        <v>381</v>
      </c>
      <c r="B58" s="337"/>
      <c r="C58" s="338" t="s">
        <v>285</v>
      </c>
      <c r="D58" s="340"/>
      <c r="E58" s="339">
        <v>0</v>
      </c>
      <c r="F58" s="340">
        <v>0</v>
      </c>
      <c r="G58" s="499">
        <v>0</v>
      </c>
    </row>
    <row r="59" spans="1:7" s="285" customFormat="1" ht="25.5">
      <c r="A59" s="278">
        <v>383</v>
      </c>
      <c r="B59" s="279"/>
      <c r="C59" s="280" t="s">
        <v>286</v>
      </c>
      <c r="D59" s="344"/>
      <c r="E59" s="264">
        <v>0</v>
      </c>
      <c r="F59" s="344">
        <v>0</v>
      </c>
      <c r="G59" s="500">
        <v>0</v>
      </c>
    </row>
    <row r="60" spans="1:7" s="285" customFormat="1" ht="12.75">
      <c r="A60" s="278">
        <v>3840</v>
      </c>
      <c r="B60" s="279"/>
      <c r="C60" s="280" t="s">
        <v>287</v>
      </c>
      <c r="D60" s="346"/>
      <c r="E60" s="491">
        <v>0</v>
      </c>
      <c r="F60" s="346">
        <v>0</v>
      </c>
      <c r="G60" s="501">
        <v>0</v>
      </c>
    </row>
    <row r="61" spans="1:7" s="285" customFormat="1" ht="12.75">
      <c r="A61" s="278">
        <v>3841</v>
      </c>
      <c r="B61" s="279"/>
      <c r="C61" s="280" t="s">
        <v>288</v>
      </c>
      <c r="D61" s="346"/>
      <c r="E61" s="491">
        <v>0</v>
      </c>
      <c r="F61" s="346">
        <v>0</v>
      </c>
      <c r="G61" s="501">
        <v>0</v>
      </c>
    </row>
    <row r="62" spans="1:7" s="285" customFormat="1" ht="12.75">
      <c r="A62" s="349">
        <v>386</v>
      </c>
      <c r="B62" s="350"/>
      <c r="C62" s="351" t="s">
        <v>289</v>
      </c>
      <c r="D62" s="346"/>
      <c r="E62" s="491">
        <v>0</v>
      </c>
      <c r="F62" s="346">
        <v>0</v>
      </c>
      <c r="G62" s="501">
        <v>0</v>
      </c>
    </row>
    <row r="63" spans="1:7" s="285" customFormat="1" ht="25.5">
      <c r="A63" s="278">
        <v>387</v>
      </c>
      <c r="B63" s="279"/>
      <c r="C63" s="280" t="s">
        <v>290</v>
      </c>
      <c r="D63" s="346"/>
      <c r="E63" s="491">
        <v>0</v>
      </c>
      <c r="F63" s="346">
        <v>0</v>
      </c>
      <c r="G63" s="501">
        <v>0</v>
      </c>
    </row>
    <row r="64" spans="1:7" s="285" customFormat="1" ht="12.75">
      <c r="A64" s="274">
        <v>389</v>
      </c>
      <c r="B64" s="352"/>
      <c r="C64" s="263" t="s">
        <v>57</v>
      </c>
      <c r="D64" s="275"/>
      <c r="E64" s="275">
        <v>0</v>
      </c>
      <c r="F64" s="275">
        <v>0</v>
      </c>
      <c r="G64" s="277">
        <v>0</v>
      </c>
    </row>
    <row r="65" spans="1:7" s="260" customFormat="1" ht="12.75">
      <c r="A65" s="274" t="s">
        <v>291</v>
      </c>
      <c r="B65" s="262"/>
      <c r="C65" s="263" t="s">
        <v>292</v>
      </c>
      <c r="D65" s="275"/>
      <c r="E65" s="275">
        <v>0</v>
      </c>
      <c r="F65" s="275">
        <v>0</v>
      </c>
      <c r="G65" s="277">
        <v>0</v>
      </c>
    </row>
    <row r="66" spans="1:7" s="355" customFormat="1" ht="25.5">
      <c r="A66" s="492" t="s">
        <v>293</v>
      </c>
      <c r="B66" s="354"/>
      <c r="C66" s="280" t="s">
        <v>294</v>
      </c>
      <c r="D66" s="344"/>
      <c r="E66" s="344">
        <v>0</v>
      </c>
      <c r="F66" s="344">
        <v>0</v>
      </c>
      <c r="G66" s="495">
        <v>0</v>
      </c>
    </row>
    <row r="67" spans="1:7" s="260" customFormat="1" ht="12.75">
      <c r="A67" s="353">
        <v>481</v>
      </c>
      <c r="B67" s="262"/>
      <c r="C67" s="263" t="s">
        <v>295</v>
      </c>
      <c r="D67" s="275"/>
      <c r="E67" s="275">
        <v>0</v>
      </c>
      <c r="F67" s="275">
        <v>0</v>
      </c>
      <c r="G67" s="277">
        <v>0</v>
      </c>
    </row>
    <row r="68" spans="1:7" s="260" customFormat="1" ht="12.75">
      <c r="A68" s="353">
        <v>482</v>
      </c>
      <c r="B68" s="262"/>
      <c r="C68" s="263" t="s">
        <v>296</v>
      </c>
      <c r="D68" s="275"/>
      <c r="E68" s="275">
        <v>0</v>
      </c>
      <c r="F68" s="275">
        <v>0</v>
      </c>
      <c r="G68" s="277">
        <v>0</v>
      </c>
    </row>
    <row r="69" spans="1:7" s="260" customFormat="1" ht="12.75">
      <c r="A69" s="353">
        <v>483</v>
      </c>
      <c r="B69" s="262"/>
      <c r="C69" s="263" t="s">
        <v>297</v>
      </c>
      <c r="D69" s="275"/>
      <c r="E69" s="275">
        <v>0</v>
      </c>
      <c r="F69" s="275">
        <v>0</v>
      </c>
      <c r="G69" s="277">
        <v>0</v>
      </c>
    </row>
    <row r="70" spans="1:7" s="260" customFormat="1" ht="12.75">
      <c r="A70" s="353">
        <v>484</v>
      </c>
      <c r="B70" s="262"/>
      <c r="C70" s="263" t="s">
        <v>298</v>
      </c>
      <c r="D70" s="275"/>
      <c r="E70" s="275">
        <v>0</v>
      </c>
      <c r="F70" s="275">
        <v>0</v>
      </c>
      <c r="G70" s="277">
        <v>0</v>
      </c>
    </row>
    <row r="71" spans="1:7" s="260" customFormat="1" ht="12.75">
      <c r="A71" s="353">
        <v>485</v>
      </c>
      <c r="B71" s="262"/>
      <c r="C71" s="263" t="s">
        <v>299</v>
      </c>
      <c r="D71" s="275"/>
      <c r="E71" s="275">
        <v>0</v>
      </c>
      <c r="F71" s="275">
        <v>0</v>
      </c>
      <c r="G71" s="277">
        <v>0</v>
      </c>
    </row>
    <row r="72" spans="1:7" s="260" customFormat="1" ht="12.75">
      <c r="A72" s="353">
        <v>486</v>
      </c>
      <c r="B72" s="262"/>
      <c r="C72" s="263" t="s">
        <v>300</v>
      </c>
      <c r="D72" s="275"/>
      <c r="E72" s="275">
        <v>0</v>
      </c>
      <c r="F72" s="275">
        <v>0</v>
      </c>
      <c r="G72" s="277">
        <v>0</v>
      </c>
    </row>
    <row r="73" spans="1:7" s="285" customFormat="1" ht="12.75">
      <c r="A73" s="353">
        <v>487</v>
      </c>
      <c r="B73" s="269"/>
      <c r="C73" s="263" t="s">
        <v>301</v>
      </c>
      <c r="D73" s="275"/>
      <c r="E73" s="264">
        <v>0</v>
      </c>
      <c r="F73" s="275">
        <v>0</v>
      </c>
      <c r="G73" s="319">
        <v>0</v>
      </c>
    </row>
    <row r="74" spans="1:7" s="285" customFormat="1" ht="12.75">
      <c r="A74" s="353">
        <v>489</v>
      </c>
      <c r="B74" s="356"/>
      <c r="C74" s="303" t="s">
        <v>74</v>
      </c>
      <c r="D74" s="275"/>
      <c r="E74" s="264">
        <v>0</v>
      </c>
      <c r="F74" s="275">
        <v>0</v>
      </c>
      <c r="G74" s="319">
        <v>0</v>
      </c>
    </row>
    <row r="75" spans="1:7" s="285" customFormat="1" ht="12.75">
      <c r="A75" s="357" t="s">
        <v>302</v>
      </c>
      <c r="B75" s="356"/>
      <c r="C75" s="330" t="s">
        <v>303</v>
      </c>
      <c r="D75" s="275"/>
      <c r="E75" s="275">
        <v>0</v>
      </c>
      <c r="F75" s="275">
        <v>0</v>
      </c>
      <c r="G75" s="277">
        <v>0</v>
      </c>
    </row>
    <row r="76" spans="1:7" ht="12.75">
      <c r="A76" s="309"/>
      <c r="B76" s="309"/>
      <c r="C76" s="310" t="s">
        <v>304</v>
      </c>
      <c r="D76" s="311">
        <f>SUM(D65:D74)-SUM(D57:D64)</f>
        <v>0</v>
      </c>
      <c r="E76" s="311">
        <f>SUM(E65:E74)-SUM(E57:E64)</f>
        <v>0</v>
      </c>
      <c r="F76" s="311">
        <f>SUM(F65:F74)-SUM(F57:F64)</f>
        <v>0</v>
      </c>
      <c r="G76" s="311">
        <f>SUM(G65:G74)-SUM(G57:G64)</f>
        <v>0</v>
      </c>
    </row>
    <row r="77" spans="1:7" ht="12.75">
      <c r="A77" s="358"/>
      <c r="B77" s="358"/>
      <c r="C77" s="310" t="s">
        <v>305</v>
      </c>
      <c r="D77" s="311">
        <f>D56+D76</f>
        <v>0</v>
      </c>
      <c r="E77" s="311">
        <f>E56+E76</f>
        <v>2599.011000000053</v>
      </c>
      <c r="F77" s="311">
        <f>F56+F76</f>
        <v>4634.964000000044</v>
      </c>
      <c r="G77" s="311">
        <f>G56+G76</f>
        <v>5344.679000000027</v>
      </c>
    </row>
    <row r="78" spans="1:7" ht="12.75">
      <c r="A78" s="359">
        <v>3</v>
      </c>
      <c r="B78" s="359"/>
      <c r="C78" s="360" t="s">
        <v>306</v>
      </c>
      <c r="D78" s="361">
        <f>D20+D21+SUM(D38:D43)+SUM(D57:D64)</f>
        <v>0</v>
      </c>
      <c r="E78" s="361">
        <f>E20+E21+SUM(E38:E43)+SUM(E57:E64)</f>
        <v>383553.75099999993</v>
      </c>
      <c r="F78" s="361">
        <f>F20+F21+SUM(F38:F43)+SUM(F57:F64)</f>
        <v>382755.132</v>
      </c>
      <c r="G78" s="361">
        <f>G20+G21+SUM(G38:G43)+SUM(G57:G64)</f>
        <v>389780.81899999996</v>
      </c>
    </row>
    <row r="79" spans="1:7" ht="12.75">
      <c r="A79" s="359">
        <v>4</v>
      </c>
      <c r="B79" s="359"/>
      <c r="C79" s="360" t="s">
        <v>307</v>
      </c>
      <c r="D79" s="361">
        <f>D35+D36+SUM(D44:D53)+SUM(D65:D74)</f>
        <v>0</v>
      </c>
      <c r="E79" s="361">
        <f>E35+E36+SUM(E44:E53)+SUM(E65:E74)</f>
        <v>386152.762</v>
      </c>
      <c r="F79" s="361">
        <f>F35+F36+SUM(F44:F53)+SUM(F65:F74)</f>
        <v>387390.096</v>
      </c>
      <c r="G79" s="361">
        <f>G35+G36+SUM(G44:G53)+SUM(G65:G74)</f>
        <v>395125.498</v>
      </c>
    </row>
    <row r="80" spans="1:7" ht="12.75">
      <c r="A80" s="362"/>
      <c r="B80" s="362"/>
      <c r="C80" s="363"/>
      <c r="D80" s="364"/>
      <c r="E80" s="364"/>
      <c r="F80" s="364"/>
      <c r="G80" s="364"/>
    </row>
    <row r="81" spans="1:7" ht="12.75">
      <c r="A81" s="611" t="s">
        <v>308</v>
      </c>
      <c r="B81" s="612"/>
      <c r="C81" s="612"/>
      <c r="D81" s="366"/>
      <c r="E81" s="365"/>
      <c r="F81" s="366"/>
      <c r="G81" s="365"/>
    </row>
    <row r="82" spans="1:7" s="260" customFormat="1" ht="12.75">
      <c r="A82" s="367">
        <v>50</v>
      </c>
      <c r="B82" s="368"/>
      <c r="C82" s="368" t="s">
        <v>309</v>
      </c>
      <c r="D82" s="316"/>
      <c r="E82" s="275">
        <v>39713</v>
      </c>
      <c r="F82" s="266">
        <v>42756.341</v>
      </c>
      <c r="G82" s="276">
        <v>37150</v>
      </c>
    </row>
    <row r="83" spans="1:7" s="260" customFormat="1" ht="12.75">
      <c r="A83" s="367">
        <v>51</v>
      </c>
      <c r="B83" s="368"/>
      <c r="C83" s="368" t="s">
        <v>310</v>
      </c>
      <c r="D83" s="316"/>
      <c r="E83" s="275">
        <v>0</v>
      </c>
      <c r="F83" s="266">
        <v>62.025</v>
      </c>
      <c r="G83" s="276">
        <v>0</v>
      </c>
    </row>
    <row r="84" spans="1:7" s="260" customFormat="1" ht="12.75">
      <c r="A84" s="367">
        <v>52</v>
      </c>
      <c r="B84" s="368"/>
      <c r="C84" s="368" t="s">
        <v>311</v>
      </c>
      <c r="D84" s="316"/>
      <c r="E84" s="275">
        <v>1269.5</v>
      </c>
      <c r="F84" s="266">
        <v>743.509</v>
      </c>
      <c r="G84" s="276">
        <v>701.5</v>
      </c>
    </row>
    <row r="85" spans="1:7" s="260" customFormat="1" ht="12.75">
      <c r="A85" s="369">
        <v>54</v>
      </c>
      <c r="B85" s="370"/>
      <c r="C85" s="370" t="s">
        <v>312</v>
      </c>
      <c r="D85" s="316"/>
      <c r="E85" s="271">
        <v>15582.7</v>
      </c>
      <c r="F85" s="266">
        <v>1064.2</v>
      </c>
      <c r="G85" s="276">
        <v>15958</v>
      </c>
    </row>
    <row r="86" spans="1:7" s="260" customFormat="1" ht="12.75">
      <c r="A86" s="369">
        <v>55</v>
      </c>
      <c r="B86" s="370"/>
      <c r="C86" s="370" t="s">
        <v>313</v>
      </c>
      <c r="D86" s="316"/>
      <c r="E86" s="271">
        <v>0</v>
      </c>
      <c r="F86" s="266">
        <v>0</v>
      </c>
      <c r="G86" s="276">
        <v>0</v>
      </c>
    </row>
    <row r="87" spans="1:7" s="260" customFormat="1" ht="12.75">
      <c r="A87" s="369">
        <v>56</v>
      </c>
      <c r="B87" s="370"/>
      <c r="C87" s="370" t="s">
        <v>314</v>
      </c>
      <c r="D87" s="316"/>
      <c r="E87" s="271">
        <v>9823</v>
      </c>
      <c r="F87" s="266">
        <v>9087.978</v>
      </c>
      <c r="G87" s="276">
        <v>15453</v>
      </c>
    </row>
    <row r="88" spans="1:7" s="260" customFormat="1" ht="12.75">
      <c r="A88" s="367">
        <v>57</v>
      </c>
      <c r="B88" s="368"/>
      <c r="C88" s="368" t="s">
        <v>315</v>
      </c>
      <c r="D88" s="316"/>
      <c r="E88" s="275">
        <v>1970.7</v>
      </c>
      <c r="F88" s="266">
        <v>1697.011</v>
      </c>
      <c r="G88" s="276">
        <v>1970.7</v>
      </c>
    </row>
    <row r="89" spans="1:7" s="260" customFormat="1" ht="12.75">
      <c r="A89" s="367">
        <v>580</v>
      </c>
      <c r="B89" s="368"/>
      <c r="C89" s="368" t="s">
        <v>316</v>
      </c>
      <c r="D89" s="275"/>
      <c r="E89" s="275"/>
      <c r="F89" s="266"/>
      <c r="G89" s="276"/>
    </row>
    <row r="90" spans="1:7" s="260" customFormat="1" ht="12.75">
      <c r="A90" s="367">
        <v>582</v>
      </c>
      <c r="B90" s="368"/>
      <c r="C90" s="368" t="s">
        <v>317</v>
      </c>
      <c r="D90" s="275"/>
      <c r="E90" s="275"/>
      <c r="F90" s="266"/>
      <c r="G90" s="276"/>
    </row>
    <row r="91" spans="1:7" s="260" customFormat="1" ht="12.75">
      <c r="A91" s="367">
        <v>584</v>
      </c>
      <c r="B91" s="368"/>
      <c r="C91" s="368" t="s">
        <v>318</v>
      </c>
      <c r="D91" s="275"/>
      <c r="E91" s="275"/>
      <c r="F91" s="266"/>
      <c r="G91" s="276"/>
    </row>
    <row r="92" spans="1:7" s="260" customFormat="1" ht="12.75">
      <c r="A92" s="367">
        <v>585</v>
      </c>
      <c r="B92" s="368"/>
      <c r="C92" s="368" t="s">
        <v>319</v>
      </c>
      <c r="D92" s="275"/>
      <c r="E92" s="275"/>
      <c r="F92" s="266"/>
      <c r="G92" s="276"/>
    </row>
    <row r="93" spans="1:7" s="260" customFormat="1" ht="12.75">
      <c r="A93" s="367">
        <v>586</v>
      </c>
      <c r="B93" s="368"/>
      <c r="C93" s="368" t="s">
        <v>320</v>
      </c>
      <c r="D93" s="275"/>
      <c r="E93" s="275"/>
      <c r="F93" s="266"/>
      <c r="G93" s="276"/>
    </row>
    <row r="94" spans="1:7" s="260" customFormat="1" ht="12.75">
      <c r="A94" s="371">
        <v>589</v>
      </c>
      <c r="B94" s="372"/>
      <c r="C94" s="372" t="s">
        <v>321</v>
      </c>
      <c r="D94" s="306"/>
      <c r="E94" s="306"/>
      <c r="F94" s="373"/>
      <c r="G94" s="308"/>
    </row>
    <row r="95" spans="1:7" ht="12.75">
      <c r="A95" s="374">
        <v>5</v>
      </c>
      <c r="B95" s="375"/>
      <c r="C95" s="375" t="s">
        <v>322</v>
      </c>
      <c r="D95" s="376">
        <f>SUM(D82:D94)</f>
        <v>0</v>
      </c>
      <c r="E95" s="376">
        <f>SUM(E82:E94)</f>
        <v>68358.9</v>
      </c>
      <c r="F95" s="376">
        <f>SUM(F82:F94)</f>
        <v>55411.064</v>
      </c>
      <c r="G95" s="376">
        <f>SUM(G82:G94)</f>
        <v>71233.2</v>
      </c>
    </row>
    <row r="96" spans="1:7" s="260" customFormat="1" ht="12.75">
      <c r="A96" s="367">
        <v>60</v>
      </c>
      <c r="B96" s="368"/>
      <c r="C96" s="368" t="s">
        <v>323</v>
      </c>
      <c r="D96" s="316"/>
      <c r="E96" s="275">
        <v>0</v>
      </c>
      <c r="F96" s="266">
        <v>11.5</v>
      </c>
      <c r="G96" s="276">
        <v>0</v>
      </c>
    </row>
    <row r="97" spans="1:7" s="260" customFormat="1" ht="12.75">
      <c r="A97" s="367">
        <v>61</v>
      </c>
      <c r="B97" s="368"/>
      <c r="C97" s="368" t="s">
        <v>324</v>
      </c>
      <c r="D97" s="316"/>
      <c r="E97" s="275">
        <v>0</v>
      </c>
      <c r="F97" s="266">
        <v>62.025</v>
      </c>
      <c r="G97" s="276">
        <v>0</v>
      </c>
    </row>
    <row r="98" spans="1:7" s="260" customFormat="1" ht="12.75">
      <c r="A98" s="367">
        <v>62</v>
      </c>
      <c r="B98" s="368"/>
      <c r="C98" s="368" t="s">
        <v>325</v>
      </c>
      <c r="D98" s="316"/>
      <c r="E98" s="275">
        <v>0</v>
      </c>
      <c r="F98" s="266">
        <v>0</v>
      </c>
      <c r="G98" s="276">
        <v>0</v>
      </c>
    </row>
    <row r="99" spans="1:7" s="260" customFormat="1" ht="12.75">
      <c r="A99" s="367">
        <v>63</v>
      </c>
      <c r="B99" s="368"/>
      <c r="C99" s="368" t="s">
        <v>326</v>
      </c>
      <c r="D99" s="316"/>
      <c r="E99" s="275">
        <v>24368.5</v>
      </c>
      <c r="F99" s="266">
        <v>32295.167</v>
      </c>
      <c r="G99" s="276">
        <v>25577.5</v>
      </c>
    </row>
    <row r="100" spans="1:7" s="260" customFormat="1" ht="12.75">
      <c r="A100" s="367">
        <v>64</v>
      </c>
      <c r="B100" s="368"/>
      <c r="C100" s="368" t="s">
        <v>327</v>
      </c>
      <c r="D100" s="316"/>
      <c r="E100" s="271">
        <v>15395.2</v>
      </c>
      <c r="F100" s="266">
        <v>848.511</v>
      </c>
      <c r="G100" s="276">
        <v>15888.5</v>
      </c>
    </row>
    <row r="101" spans="1:7" s="260" customFormat="1" ht="12.75">
      <c r="A101" s="367">
        <v>65</v>
      </c>
      <c r="B101" s="368"/>
      <c r="C101" s="368" t="s">
        <v>328</v>
      </c>
      <c r="D101" s="316"/>
      <c r="E101" s="271">
        <v>0</v>
      </c>
      <c r="F101" s="266">
        <v>6.613</v>
      </c>
      <c r="G101" s="276">
        <v>0</v>
      </c>
    </row>
    <row r="102" spans="1:7" s="260" customFormat="1" ht="12.75">
      <c r="A102" s="367">
        <v>66</v>
      </c>
      <c r="B102" s="368"/>
      <c r="C102" s="368" t="s">
        <v>329</v>
      </c>
      <c r="D102" s="316"/>
      <c r="E102" s="271">
        <v>0</v>
      </c>
      <c r="F102" s="266">
        <v>46.533</v>
      </c>
      <c r="G102" s="276">
        <v>0</v>
      </c>
    </row>
    <row r="103" spans="1:7" s="260" customFormat="1" ht="12.75">
      <c r="A103" s="367">
        <v>67</v>
      </c>
      <c r="B103" s="368"/>
      <c r="C103" s="368" t="s">
        <v>315</v>
      </c>
      <c r="D103" s="316"/>
      <c r="E103" s="275">
        <v>1970.7</v>
      </c>
      <c r="F103" s="286">
        <v>1697.011</v>
      </c>
      <c r="G103" s="267">
        <v>1970.7</v>
      </c>
    </row>
    <row r="104" spans="1:7" s="260" customFormat="1" ht="25.5">
      <c r="A104" s="377" t="s">
        <v>330</v>
      </c>
      <c r="B104" s="368"/>
      <c r="C104" s="378" t="s">
        <v>331</v>
      </c>
      <c r="D104" s="264"/>
      <c r="E104" s="264"/>
      <c r="F104" s="286"/>
      <c r="G104" s="267"/>
    </row>
    <row r="105" spans="1:7" s="260" customFormat="1" ht="38.25">
      <c r="A105" s="381" t="s">
        <v>332</v>
      </c>
      <c r="B105" s="372"/>
      <c r="C105" s="382" t="s">
        <v>333</v>
      </c>
      <c r="D105" s="304"/>
      <c r="E105" s="304"/>
      <c r="F105" s="307"/>
      <c r="G105" s="486"/>
    </row>
    <row r="106" spans="1:7" ht="12.75">
      <c r="A106" s="374">
        <v>6</v>
      </c>
      <c r="B106" s="375"/>
      <c r="C106" s="375" t="s">
        <v>334</v>
      </c>
      <c r="D106" s="376">
        <f>SUM(D96:D105)</f>
        <v>0</v>
      </c>
      <c r="E106" s="376">
        <f>SUM(E96:E105)</f>
        <v>41734.399999999994</v>
      </c>
      <c r="F106" s="376">
        <f>SUM(F96:F105)</f>
        <v>34967.36</v>
      </c>
      <c r="G106" s="376">
        <f>SUM(G96:G105)</f>
        <v>43436.7</v>
      </c>
    </row>
    <row r="107" spans="1:7" ht="12.75">
      <c r="A107" s="386" t="s">
        <v>335</v>
      </c>
      <c r="B107" s="386"/>
      <c r="C107" s="375" t="s">
        <v>3</v>
      </c>
      <c r="D107" s="376">
        <f>(D95-D88)-(D106-D103)</f>
        <v>0</v>
      </c>
      <c r="E107" s="376">
        <f>(E95-E88)-(E106-E103)</f>
        <v>26624.5</v>
      </c>
      <c r="F107" s="376">
        <f>(F95-F88)-(F106-F103)</f>
        <v>20443.703999999998</v>
      </c>
      <c r="G107" s="376">
        <f>(G95-G88)-(G106-G103)</f>
        <v>27796.5</v>
      </c>
    </row>
    <row r="108" spans="1:7" ht="12.75">
      <c r="A108" s="387" t="s">
        <v>336</v>
      </c>
      <c r="B108" s="387"/>
      <c r="C108" s="388" t="s">
        <v>337</v>
      </c>
      <c r="D108" s="389">
        <f>D107-D85-D86+D100+D101</f>
        <v>0</v>
      </c>
      <c r="E108" s="389">
        <f>E107-E85-E86+E100+E101</f>
        <v>26437</v>
      </c>
      <c r="F108" s="389">
        <f>F107-F85-F86+F100+F101</f>
        <v>20234.627999999997</v>
      </c>
      <c r="G108" s="389">
        <f>G107-G85-G86+G100+G101</f>
        <v>27727</v>
      </c>
    </row>
    <row r="109" spans="1:7" ht="12.75">
      <c r="A109" s="362"/>
      <c r="B109" s="362"/>
      <c r="C109" s="363"/>
      <c r="D109" s="364"/>
      <c r="E109" s="364"/>
      <c r="F109" s="364"/>
      <c r="G109" s="364"/>
    </row>
    <row r="110" spans="1:7" s="250" customFormat="1" ht="12.75">
      <c r="A110" s="390" t="s">
        <v>338</v>
      </c>
      <c r="B110" s="391"/>
      <c r="C110" s="390"/>
      <c r="D110" s="364"/>
      <c r="E110" s="364"/>
      <c r="F110" s="364"/>
      <c r="G110" s="364"/>
    </row>
    <row r="111" spans="1:7" s="396" customFormat="1" ht="12.75">
      <c r="A111" s="392">
        <v>10</v>
      </c>
      <c r="B111" s="393"/>
      <c r="C111" s="393" t="s">
        <v>339</v>
      </c>
      <c r="D111" s="394">
        <f>D112+D117</f>
        <v>0</v>
      </c>
      <c r="E111" s="493">
        <f>E112+E117</f>
        <v>0</v>
      </c>
      <c r="F111" s="394">
        <f>F112+F117</f>
        <v>163454.425</v>
      </c>
      <c r="G111" s="395">
        <f>G112+G117</f>
        <v>0</v>
      </c>
    </row>
    <row r="112" spans="1:7" s="396" customFormat="1" ht="12.75">
      <c r="A112" s="397" t="s">
        <v>340</v>
      </c>
      <c r="B112" s="398"/>
      <c r="C112" s="398" t="s">
        <v>341</v>
      </c>
      <c r="D112" s="394">
        <f>D113+D114+D115+D116</f>
        <v>0</v>
      </c>
      <c r="E112" s="493">
        <f>E113+E114+E115+E116</f>
        <v>0</v>
      </c>
      <c r="F112" s="394">
        <f>F113+F114+F115+F116</f>
        <v>133586.535</v>
      </c>
      <c r="G112" s="395">
        <f>G113+G114+G115+G116</f>
        <v>0</v>
      </c>
    </row>
    <row r="113" spans="1:7" s="396" customFormat="1" ht="12.75">
      <c r="A113" s="410" t="s">
        <v>342</v>
      </c>
      <c r="B113" s="411"/>
      <c r="C113" s="411" t="s">
        <v>343</v>
      </c>
      <c r="D113" s="275"/>
      <c r="E113" s="316"/>
      <c r="F113" s="275">
        <v>109081.128</v>
      </c>
      <c r="G113" s="277"/>
    </row>
    <row r="114" spans="1:7" s="406" customFormat="1" ht="15" customHeight="1">
      <c r="A114" s="414">
        <v>102</v>
      </c>
      <c r="B114" s="494"/>
      <c r="C114" s="494" t="s">
        <v>344</v>
      </c>
      <c r="D114" s="344"/>
      <c r="E114" s="344"/>
      <c r="F114" s="344">
        <v>8000</v>
      </c>
      <c r="G114" s="495"/>
    </row>
    <row r="115" spans="1:7" s="396" customFormat="1" ht="12.75">
      <c r="A115" s="410">
        <v>104</v>
      </c>
      <c r="B115" s="411"/>
      <c r="C115" s="411" t="s">
        <v>345</v>
      </c>
      <c r="D115" s="275"/>
      <c r="E115" s="316"/>
      <c r="F115" s="275">
        <v>15179.666</v>
      </c>
      <c r="G115" s="277"/>
    </row>
    <row r="116" spans="1:7" s="396" customFormat="1" ht="12.75">
      <c r="A116" s="410">
        <v>106</v>
      </c>
      <c r="B116" s="411"/>
      <c r="C116" s="411" t="s">
        <v>346</v>
      </c>
      <c r="D116" s="275"/>
      <c r="E116" s="316"/>
      <c r="F116" s="275">
        <v>1325.741</v>
      </c>
      <c r="G116" s="277"/>
    </row>
    <row r="117" spans="1:7" s="396" customFormat="1" ht="12.75">
      <c r="A117" s="397" t="s">
        <v>347</v>
      </c>
      <c r="B117" s="398"/>
      <c r="C117" s="398" t="s">
        <v>348</v>
      </c>
      <c r="D117" s="394">
        <f>D118+D119+D120</f>
        <v>0</v>
      </c>
      <c r="E117" s="493">
        <f>E118+E119+E120</f>
        <v>0</v>
      </c>
      <c r="F117" s="394">
        <f>F118+F119+F120</f>
        <v>29867.89</v>
      </c>
      <c r="G117" s="395">
        <f>G118+G119+G120</f>
        <v>0</v>
      </c>
    </row>
    <row r="118" spans="1:7" s="396" customFormat="1" ht="12.75">
      <c r="A118" s="410">
        <v>107</v>
      </c>
      <c r="B118" s="411"/>
      <c r="C118" s="411" t="s">
        <v>349</v>
      </c>
      <c r="D118" s="275"/>
      <c r="E118" s="316"/>
      <c r="F118" s="275">
        <v>9074.29</v>
      </c>
      <c r="G118" s="277"/>
    </row>
    <row r="119" spans="1:7" s="396" customFormat="1" ht="12.75">
      <c r="A119" s="410">
        <v>108</v>
      </c>
      <c r="B119" s="411"/>
      <c r="C119" s="411" t="s">
        <v>350</v>
      </c>
      <c r="D119" s="275"/>
      <c r="E119" s="316"/>
      <c r="F119" s="275">
        <v>20793.6</v>
      </c>
      <c r="G119" s="277"/>
    </row>
    <row r="120" spans="1:7" s="409" customFormat="1" ht="25.5">
      <c r="A120" s="414">
        <v>109</v>
      </c>
      <c r="B120" s="415"/>
      <c r="C120" s="415" t="s">
        <v>351</v>
      </c>
      <c r="D120" s="281"/>
      <c r="E120" s="281"/>
      <c r="F120" s="281">
        <v>0</v>
      </c>
      <c r="G120" s="496"/>
    </row>
    <row r="121" spans="1:7" s="396" customFormat="1" ht="12.75">
      <c r="A121" s="397">
        <v>14</v>
      </c>
      <c r="B121" s="398"/>
      <c r="C121" s="398" t="s">
        <v>352</v>
      </c>
      <c r="D121" s="394">
        <f>SUM(D122:D130)</f>
        <v>0</v>
      </c>
      <c r="E121" s="394">
        <f>SUM(E122:E130)</f>
        <v>0</v>
      </c>
      <c r="F121" s="394">
        <f>SUM(F122:F130)</f>
        <v>179089.97699999998</v>
      </c>
      <c r="G121" s="394">
        <f>SUM(G122:G130)</f>
        <v>0</v>
      </c>
    </row>
    <row r="122" spans="1:7" s="396" customFormat="1" ht="12.75">
      <c r="A122" s="410" t="s">
        <v>353</v>
      </c>
      <c r="B122" s="411"/>
      <c r="C122" s="411" t="s">
        <v>354</v>
      </c>
      <c r="D122" s="275"/>
      <c r="E122" s="316"/>
      <c r="F122" s="275">
        <v>94230.441</v>
      </c>
      <c r="G122" s="277"/>
    </row>
    <row r="123" spans="1:7" s="396" customFormat="1" ht="12.75">
      <c r="A123" s="410">
        <v>144</v>
      </c>
      <c r="B123" s="411"/>
      <c r="C123" s="411" t="s">
        <v>312</v>
      </c>
      <c r="D123" s="275"/>
      <c r="E123" s="316"/>
      <c r="F123" s="275">
        <v>15404.784</v>
      </c>
      <c r="G123" s="277"/>
    </row>
    <row r="124" spans="1:7" s="396" customFormat="1" ht="12.75">
      <c r="A124" s="410">
        <v>145</v>
      </c>
      <c r="B124" s="411"/>
      <c r="C124" s="411" t="s">
        <v>355</v>
      </c>
      <c r="D124" s="275"/>
      <c r="E124" s="316"/>
      <c r="F124" s="275">
        <v>45999.95</v>
      </c>
      <c r="G124" s="413"/>
    </row>
    <row r="125" spans="1:7" s="396" customFormat="1" ht="12.75">
      <c r="A125" s="410">
        <v>146</v>
      </c>
      <c r="B125" s="411"/>
      <c r="C125" s="411" t="s">
        <v>356</v>
      </c>
      <c r="D125" s="275"/>
      <c r="E125" s="316"/>
      <c r="F125" s="275">
        <v>23454.802</v>
      </c>
      <c r="G125" s="413"/>
    </row>
    <row r="126" spans="1:7" s="409" customFormat="1" ht="29.25" customHeight="1">
      <c r="A126" s="414" t="s">
        <v>357</v>
      </c>
      <c r="B126" s="415"/>
      <c r="C126" s="415" t="s">
        <v>358</v>
      </c>
      <c r="D126" s="281"/>
      <c r="E126" s="281"/>
      <c r="F126" s="281"/>
      <c r="G126" s="417"/>
    </row>
    <row r="127" spans="1:7" s="396" customFormat="1" ht="12.75">
      <c r="A127" s="410">
        <v>1484</v>
      </c>
      <c r="B127" s="411"/>
      <c r="C127" s="411" t="s">
        <v>359</v>
      </c>
      <c r="D127" s="275"/>
      <c r="E127" s="316"/>
      <c r="F127" s="275"/>
      <c r="G127" s="413"/>
    </row>
    <row r="128" spans="1:7" s="396" customFormat="1" ht="12.75">
      <c r="A128" s="410">
        <v>1485</v>
      </c>
      <c r="B128" s="411"/>
      <c r="C128" s="411" t="s">
        <v>360</v>
      </c>
      <c r="D128" s="275"/>
      <c r="E128" s="316"/>
      <c r="F128" s="275"/>
      <c r="G128" s="413"/>
    </row>
    <row r="129" spans="1:7" s="396" customFormat="1" ht="12.75">
      <c r="A129" s="410">
        <v>1486</v>
      </c>
      <c r="B129" s="411"/>
      <c r="C129" s="411" t="s">
        <v>361</v>
      </c>
      <c r="D129" s="275"/>
      <c r="E129" s="316"/>
      <c r="F129" s="275"/>
      <c r="G129" s="413"/>
    </row>
    <row r="130" spans="1:7" s="396" customFormat="1" ht="12.75">
      <c r="A130" s="418">
        <v>1489</v>
      </c>
      <c r="B130" s="419"/>
      <c r="C130" s="419" t="s">
        <v>362</v>
      </c>
      <c r="D130" s="306"/>
      <c r="E130" s="497"/>
      <c r="F130" s="306"/>
      <c r="G130" s="421"/>
    </row>
    <row r="131" spans="1:7" s="250" customFormat="1" ht="12.75">
      <c r="A131" s="422">
        <v>1</v>
      </c>
      <c r="B131" s="423"/>
      <c r="C131" s="422" t="s">
        <v>363</v>
      </c>
      <c r="D131" s="424">
        <f>D111+D121</f>
        <v>0</v>
      </c>
      <c r="E131" s="424">
        <f>E111+E121</f>
        <v>0</v>
      </c>
      <c r="F131" s="424">
        <f>F111+F121</f>
        <v>342544.402</v>
      </c>
      <c r="G131" s="424">
        <f>G111+G121</f>
        <v>0</v>
      </c>
    </row>
    <row r="132" spans="1:7" s="250" customFormat="1" ht="12.75">
      <c r="A132" s="362"/>
      <c r="B132" s="362"/>
      <c r="C132" s="363"/>
      <c r="D132" s="364"/>
      <c r="E132" s="364"/>
      <c r="F132" s="364"/>
      <c r="G132" s="364"/>
    </row>
    <row r="133" spans="1:7" s="396" customFormat="1" ht="12.75">
      <c r="A133" s="392">
        <v>20</v>
      </c>
      <c r="B133" s="393"/>
      <c r="C133" s="393" t="s">
        <v>364</v>
      </c>
      <c r="D133" s="425">
        <f>D134+D140</f>
        <v>0</v>
      </c>
      <c r="E133" s="425">
        <f>E134+E140</f>
        <v>0</v>
      </c>
      <c r="F133" s="425">
        <f>F134+F140</f>
        <v>155124.403</v>
      </c>
      <c r="G133" s="426">
        <f>G134+G140</f>
        <v>0</v>
      </c>
    </row>
    <row r="134" spans="1:7" s="396" customFormat="1" ht="12.75">
      <c r="A134" s="427" t="s">
        <v>365</v>
      </c>
      <c r="B134" s="398"/>
      <c r="C134" s="398" t="s">
        <v>366</v>
      </c>
      <c r="D134" s="394">
        <f>D135+D136+D138+D139</f>
        <v>0</v>
      </c>
      <c r="E134" s="394">
        <f>E135+E136+E138+E139</f>
        <v>0</v>
      </c>
      <c r="F134" s="394">
        <f>F135+F136+F138+F139</f>
        <v>69907.81199999999</v>
      </c>
      <c r="G134" s="395">
        <f>G135+G136+G138+G139</f>
        <v>0</v>
      </c>
    </row>
    <row r="135" spans="1:7" s="429" customFormat="1" ht="12.75">
      <c r="A135" s="428">
        <v>200</v>
      </c>
      <c r="B135" s="411"/>
      <c r="C135" s="411" t="s">
        <v>367</v>
      </c>
      <c r="D135" s="275"/>
      <c r="E135" s="275"/>
      <c r="F135" s="275">
        <v>36995.601</v>
      </c>
      <c r="G135" s="277"/>
    </row>
    <row r="136" spans="1:7" s="429" customFormat="1" ht="12.75">
      <c r="A136" s="428">
        <v>201</v>
      </c>
      <c r="B136" s="411"/>
      <c r="C136" s="411" t="s">
        <v>368</v>
      </c>
      <c r="D136" s="275"/>
      <c r="E136" s="275"/>
      <c r="F136" s="275">
        <v>15000</v>
      </c>
      <c r="G136" s="277"/>
    </row>
    <row r="137" spans="1:7" s="429" customFormat="1" ht="12.75">
      <c r="A137" s="430" t="s">
        <v>450</v>
      </c>
      <c r="B137" s="400"/>
      <c r="C137" s="400" t="s">
        <v>370</v>
      </c>
      <c r="D137" s="271"/>
      <c r="E137" s="271"/>
      <c r="F137" s="271">
        <v>0</v>
      </c>
      <c r="G137" s="432"/>
    </row>
    <row r="138" spans="1:7" s="429" customFormat="1" ht="12.75">
      <c r="A138" s="428">
        <v>204</v>
      </c>
      <c r="B138" s="411"/>
      <c r="C138" s="411" t="s">
        <v>371</v>
      </c>
      <c r="D138" s="275"/>
      <c r="E138" s="275"/>
      <c r="F138" s="275">
        <v>13794.046</v>
      </c>
      <c r="G138" s="413"/>
    </row>
    <row r="139" spans="1:7" s="429" customFormat="1" ht="12.75">
      <c r="A139" s="428">
        <v>205</v>
      </c>
      <c r="B139" s="411"/>
      <c r="C139" s="411" t="s">
        <v>372</v>
      </c>
      <c r="D139" s="275"/>
      <c r="E139" s="275"/>
      <c r="F139" s="275">
        <v>4118.165</v>
      </c>
      <c r="G139" s="413"/>
    </row>
    <row r="140" spans="1:7" s="429" customFormat="1" ht="12.75">
      <c r="A140" s="427" t="s">
        <v>373</v>
      </c>
      <c r="B140" s="398"/>
      <c r="C140" s="398" t="s">
        <v>374</v>
      </c>
      <c r="D140" s="394">
        <f>D141+D143+D144</f>
        <v>0</v>
      </c>
      <c r="E140" s="394">
        <f>E141+E143+E144</f>
        <v>0</v>
      </c>
      <c r="F140" s="394">
        <f>F141+F143+F144</f>
        <v>85216.59099999999</v>
      </c>
      <c r="G140" s="395">
        <f>G141+G143+G144</f>
        <v>0</v>
      </c>
    </row>
    <row r="141" spans="1:7" s="429" customFormat="1" ht="12.75">
      <c r="A141" s="428">
        <v>206</v>
      </c>
      <c r="B141" s="411"/>
      <c r="C141" s="411" t="s">
        <v>375</v>
      </c>
      <c r="D141" s="275"/>
      <c r="E141" s="275"/>
      <c r="F141" s="275">
        <v>70858.181</v>
      </c>
      <c r="G141" s="413"/>
    </row>
    <row r="142" spans="1:7" s="429" customFormat="1" ht="12.75">
      <c r="A142" s="430" t="s">
        <v>376</v>
      </c>
      <c r="B142" s="400"/>
      <c r="C142" s="400" t="s">
        <v>377</v>
      </c>
      <c r="D142" s="271"/>
      <c r="E142" s="271"/>
      <c r="F142" s="271">
        <v>0</v>
      </c>
      <c r="G142" s="432"/>
    </row>
    <row r="143" spans="1:7" s="429" customFormat="1" ht="12.75">
      <c r="A143" s="428">
        <v>208</v>
      </c>
      <c r="B143" s="411"/>
      <c r="C143" s="411" t="s">
        <v>378</v>
      </c>
      <c r="D143" s="275"/>
      <c r="E143" s="275"/>
      <c r="F143" s="275">
        <v>11741.809</v>
      </c>
      <c r="G143" s="413"/>
    </row>
    <row r="144" spans="1:7" s="433" customFormat="1" ht="25.5">
      <c r="A144" s="414">
        <v>209</v>
      </c>
      <c r="B144" s="415"/>
      <c r="C144" s="415" t="s">
        <v>379</v>
      </c>
      <c r="D144" s="281"/>
      <c r="E144" s="281"/>
      <c r="F144" s="281">
        <v>2616.601</v>
      </c>
      <c r="G144" s="417"/>
    </row>
    <row r="145" spans="1:7" s="396" customFormat="1" ht="12.75">
      <c r="A145" s="427">
        <v>29</v>
      </c>
      <c r="B145" s="398"/>
      <c r="C145" s="398" t="s">
        <v>380</v>
      </c>
      <c r="D145" s="412"/>
      <c r="E145" s="412"/>
      <c r="F145" s="412">
        <v>187420</v>
      </c>
      <c r="G145" s="413"/>
    </row>
    <row r="146" spans="1:7" s="396" customFormat="1" ht="12.75">
      <c r="A146" s="434" t="s">
        <v>381</v>
      </c>
      <c r="B146" s="435"/>
      <c r="C146" s="435" t="s">
        <v>382</v>
      </c>
      <c r="D146" s="332"/>
      <c r="E146" s="332"/>
      <c r="F146" s="332">
        <v>160019.947</v>
      </c>
      <c r="G146" s="436"/>
    </row>
    <row r="147" spans="1:7" s="250" customFormat="1" ht="12.75">
      <c r="A147" s="422">
        <v>2</v>
      </c>
      <c r="B147" s="423"/>
      <c r="C147" s="422" t="s">
        <v>383</v>
      </c>
      <c r="D147" s="424">
        <f>D133+D145</f>
        <v>0</v>
      </c>
      <c r="E147" s="424">
        <f>E133+E145</f>
        <v>0</v>
      </c>
      <c r="F147" s="424">
        <f>F133+F145</f>
        <v>342544.403</v>
      </c>
      <c r="G147" s="424">
        <f>G133+G145</f>
        <v>0</v>
      </c>
    </row>
    <row r="148" spans="4:6" ht="7.5" customHeight="1">
      <c r="D148" s="250"/>
      <c r="F148" s="250"/>
    </row>
    <row r="149" spans="1:7" ht="13.5" customHeight="1">
      <c r="A149" s="595" t="s">
        <v>384</v>
      </c>
      <c r="B149" s="438"/>
      <c r="C149" s="439" t="s">
        <v>385</v>
      </c>
      <c r="D149" s="438"/>
      <c r="E149" s="438"/>
      <c r="F149" s="438"/>
      <c r="G149" s="438"/>
    </row>
    <row r="150" spans="1:7" ht="12.75">
      <c r="A150" s="516" t="s">
        <v>386</v>
      </c>
      <c r="B150" s="441"/>
      <c r="C150" s="441" t="s">
        <v>97</v>
      </c>
      <c r="D150" s="442">
        <f>D77+SUM(D8:D12)-D30-D31+D16-D33+D59+D63-D73+D64-D74-D54+D20-D35</f>
        <v>0</v>
      </c>
      <c r="E150" s="442">
        <f>E77+SUM(E8:E12)-E30-E31+E16-E33+E59+E63-E73+E64-E74-E54+E20-E35</f>
        <v>13548.831000000053</v>
      </c>
      <c r="F150" s="442">
        <f>F77+SUM(F8:F12)-F30-F31+F16-F33+F59+F63-F73+F64-F74-F54+F20-F35</f>
        <v>17179.034000000043</v>
      </c>
      <c r="G150" s="442">
        <f>G77+SUM(G8:G12)-G30-G31+G16-G33+G59+G63-G73+G64-G74-G54+G20-G35</f>
        <v>15535.983000000026</v>
      </c>
    </row>
    <row r="151" spans="1:7" ht="12.75">
      <c r="A151" s="517" t="s">
        <v>387</v>
      </c>
      <c r="B151" s="444"/>
      <c r="C151" s="444" t="s">
        <v>388</v>
      </c>
      <c r="D151" s="445">
        <f>IF(D177=0,0,D150/D177)</f>
        <v>0</v>
      </c>
      <c r="E151" s="445">
        <f>IF(E177=0,0,E150/E177)</f>
        <v>0.03942722438027235</v>
      </c>
      <c r="F151" s="445">
        <f>IF(F177=0,0,F150/F177)</f>
        <v>0.04991541084891233</v>
      </c>
      <c r="G151" s="445">
        <f>IF(G177=0,0,G150/G177)</f>
        <v>0.044220527430955996</v>
      </c>
    </row>
    <row r="152" spans="1:7" s="328" customFormat="1" ht="25.5">
      <c r="A152" s="511" t="s">
        <v>389</v>
      </c>
      <c r="B152" s="447"/>
      <c r="C152" s="447" t="s">
        <v>390</v>
      </c>
      <c r="D152" s="448">
        <f>IF(D107=0,0,D150/D107)</f>
        <v>0</v>
      </c>
      <c r="E152" s="448">
        <f>IF(IF(E107=0,0,E$150/E107)&lt;0,"negativ",(IF(E107=0,0,E$150/E107)))</f>
        <v>0.5088858382317059</v>
      </c>
      <c r="F152" s="448">
        <f>IF(IF(F107=0,0,F$150/F107)&lt;0,"negativ",(IF(F107=0,0,F$150/F107)))</f>
        <v>0.8403092707662</v>
      </c>
      <c r="G152" s="448">
        <f>IF(IF(G107=0,0,G$150/G107)&lt;0,"negativ",(IF(G107=0,0,G$150/G107)))</f>
        <v>0.5589186768118297</v>
      </c>
    </row>
    <row r="153" spans="1:7" s="328" customFormat="1" ht="25.5">
      <c r="A153" s="512" t="s">
        <v>389</v>
      </c>
      <c r="B153" s="451"/>
      <c r="C153" s="451" t="s">
        <v>391</v>
      </c>
      <c r="D153" s="452">
        <f>IF(0=D108,0,D150/D108)</f>
        <v>0</v>
      </c>
      <c r="E153" s="452">
        <f>IF(IF(E108=0,0,E$150/E108)&lt;0,"negativ",(IF(E108=0,0,E$150/E108)))</f>
        <v>0.5124950259106575</v>
      </c>
      <c r="F153" s="452">
        <f>IF(IF(F108=0,0,F$150/F108)&lt;0,"negativ",(IF(F108=0,0,F$150/F108)))</f>
        <v>0.8489918371615256</v>
      </c>
      <c r="G153" s="452">
        <f>IF(IF(G108=0,0,G$150/G108)&lt;0,"negativ",(IF(G108=0,0,G$150/G108)))</f>
        <v>0.56031965232445</v>
      </c>
    </row>
    <row r="154" spans="1:7" ht="25.5">
      <c r="A154" s="513" t="s">
        <v>392</v>
      </c>
      <c r="B154" s="454"/>
      <c r="C154" s="454" t="s">
        <v>393</v>
      </c>
      <c r="D154" s="455">
        <f>D150-D107</f>
        <v>0</v>
      </c>
      <c r="E154" s="455">
        <f>E150-E107</f>
        <v>-13075.668999999947</v>
      </c>
      <c r="F154" s="455">
        <f>F150-F107</f>
        <v>-3264.6699999999546</v>
      </c>
      <c r="G154" s="455">
        <f>G150-G107</f>
        <v>-12260.516999999974</v>
      </c>
    </row>
    <row r="155" spans="1:7" ht="25.5">
      <c r="A155" s="512" t="s">
        <v>394</v>
      </c>
      <c r="B155" s="451"/>
      <c r="C155" s="451" t="s">
        <v>395</v>
      </c>
      <c r="D155" s="456">
        <f>D150-D108</f>
        <v>0</v>
      </c>
      <c r="E155" s="456">
        <f>E150-E108</f>
        <v>-12888.168999999947</v>
      </c>
      <c r="F155" s="456">
        <f>F150-F108</f>
        <v>-3055.5939999999537</v>
      </c>
      <c r="G155" s="456">
        <f>G150-G108</f>
        <v>-12191.016999999974</v>
      </c>
    </row>
    <row r="156" spans="1:7" ht="12.75">
      <c r="A156" s="516" t="s">
        <v>396</v>
      </c>
      <c r="B156" s="441"/>
      <c r="C156" s="441" t="s">
        <v>397</v>
      </c>
      <c r="D156" s="457">
        <f>D135+D136-D137+D141-D142</f>
        <v>0</v>
      </c>
      <c r="E156" s="457">
        <f>E135+E136-E137+E141-E142</f>
        <v>0</v>
      </c>
      <c r="F156" s="457">
        <f>F135+F136-F137+F141-F142</f>
        <v>122853.782</v>
      </c>
      <c r="G156" s="457">
        <f>G135+G136-G137+G141-G142</f>
        <v>0</v>
      </c>
    </row>
    <row r="157" spans="1:7" ht="12.75">
      <c r="A157" s="518" t="s">
        <v>398</v>
      </c>
      <c r="B157" s="459"/>
      <c r="C157" s="459" t="s">
        <v>399</v>
      </c>
      <c r="D157" s="460">
        <f>IF(D177=0,0,D156/D177)</f>
        <v>0</v>
      </c>
      <c r="E157" s="460">
        <f>IF(E177=0,0,E156/E177)</f>
        <v>0</v>
      </c>
      <c r="F157" s="460">
        <f>IF(F177=0,0,F156/F177)</f>
        <v>0.3569640180508808</v>
      </c>
      <c r="G157" s="460">
        <f>IF(G177=0,0,G156/G177)</f>
        <v>0</v>
      </c>
    </row>
    <row r="158" spans="1:7" ht="12.75">
      <c r="A158" s="516" t="s">
        <v>400</v>
      </c>
      <c r="B158" s="441"/>
      <c r="C158" s="441" t="s">
        <v>401</v>
      </c>
      <c r="D158" s="457">
        <f>D133-D142-D111</f>
        <v>0</v>
      </c>
      <c r="E158" s="457">
        <f>E133-E142-E111</f>
        <v>0</v>
      </c>
      <c r="F158" s="457">
        <f>F133-F142-F111</f>
        <v>-8330.021999999997</v>
      </c>
      <c r="G158" s="457">
        <f>G133-G142-G111</f>
        <v>0</v>
      </c>
    </row>
    <row r="159" spans="1:7" ht="12.75">
      <c r="A159" s="517" t="s">
        <v>402</v>
      </c>
      <c r="B159" s="444"/>
      <c r="C159" s="444" t="s">
        <v>403</v>
      </c>
      <c r="D159" s="461">
        <f>D121-D123-D124-D142-D145</f>
        <v>0</v>
      </c>
      <c r="E159" s="461">
        <f>E121-E123-E124-E142-E145</f>
        <v>0</v>
      </c>
      <c r="F159" s="461">
        <f>F121-F123-F124-F142-F145</f>
        <v>-69734.75700000003</v>
      </c>
      <c r="G159" s="461">
        <f>G121-G123-G124-G142-G145</f>
        <v>0</v>
      </c>
    </row>
    <row r="160" spans="1:7" ht="12.75">
      <c r="A160" s="517" t="s">
        <v>404</v>
      </c>
      <c r="B160" s="444"/>
      <c r="C160" s="444" t="s">
        <v>405</v>
      </c>
      <c r="D160" s="462" t="str">
        <f>IF(D175=0,"-",1000*D158/D175)</f>
        <v>-</v>
      </c>
      <c r="E160" s="462">
        <f>IF(E175=0,"-",1000*E158/E175)</f>
        <v>0</v>
      </c>
      <c r="F160" s="462">
        <f>IF(F175=0,"-",1000*F158/F175)</f>
        <v>-235.0059809287366</v>
      </c>
      <c r="G160" s="462">
        <f>IF(G175=0,"-",1000*G158/G175)</f>
        <v>0</v>
      </c>
    </row>
    <row r="161" spans="1:7" ht="12.75">
      <c r="A161" s="517" t="s">
        <v>404</v>
      </c>
      <c r="B161" s="444"/>
      <c r="C161" s="444" t="s">
        <v>406</v>
      </c>
      <c r="D161" s="461">
        <f>IF(D175=0,0,1000*(D159/D175))</f>
        <v>0</v>
      </c>
      <c r="E161" s="461">
        <f>IF(E175=0,0,1000*(E159/E175))</f>
        <v>0</v>
      </c>
      <c r="F161" s="461">
        <f>IF(F175=0,0,1000*(F159/F175))</f>
        <v>-1967.35194380184</v>
      </c>
      <c r="G161" s="461">
        <f>IF(G175=0,0,1000*(G159/G175))</f>
        <v>0</v>
      </c>
    </row>
    <row r="162" spans="1:7" ht="12.75">
      <c r="A162" s="518" t="s">
        <v>407</v>
      </c>
      <c r="B162" s="459"/>
      <c r="C162" s="459" t="s">
        <v>408</v>
      </c>
      <c r="D162" s="460">
        <f>IF((D22+D23+D65+D66)=0,0,D158/(D22+D23+D65+D66))</f>
        <v>0</v>
      </c>
      <c r="E162" s="460">
        <f>IF((E22+E23+E65+E66)=0,0,E158/(E22+E23+E65+E66))</f>
        <v>0</v>
      </c>
      <c r="F162" s="460">
        <f>IF((F22+F23+F65+F66)=0,0,F158/(F22+F23+F65+F66))</f>
        <v>-0.10707370746887393</v>
      </c>
      <c r="G162" s="460">
        <f>IF((G22+G23+G65+G66)=0,0,G158/(G22+G23+G65+G66))</f>
        <v>0</v>
      </c>
    </row>
    <row r="163" spans="1:7" ht="12.75">
      <c r="A163" s="517" t="s">
        <v>409</v>
      </c>
      <c r="B163" s="444"/>
      <c r="C163" s="444" t="s">
        <v>380</v>
      </c>
      <c r="D163" s="442">
        <f>D145</f>
        <v>0</v>
      </c>
      <c r="E163" s="442">
        <f>E145</f>
        <v>0</v>
      </c>
      <c r="F163" s="442">
        <f>F145</f>
        <v>187420</v>
      </c>
      <c r="G163" s="442">
        <f>G145</f>
        <v>0</v>
      </c>
    </row>
    <row r="164" spans="1:7" ht="25.5">
      <c r="A164" s="512" t="s">
        <v>411</v>
      </c>
      <c r="B164" s="463"/>
      <c r="C164" s="463" t="s">
        <v>412</v>
      </c>
      <c r="D164" s="452">
        <f>IF(D178=0,0,D146/D178)</f>
        <v>0</v>
      </c>
      <c r="E164" s="452">
        <f>IF(E178=0,0,E146/E178)</f>
        <v>0</v>
      </c>
      <c r="F164" s="452">
        <f>IF(F178=0,0,F146/F178)</f>
        <v>0.4713012284569844</v>
      </c>
      <c r="G164" s="452">
        <f>IF(G178=0,0,G146/G178)</f>
        <v>0</v>
      </c>
    </row>
    <row r="165" spans="1:7" ht="12.75">
      <c r="A165" s="519" t="s">
        <v>681</v>
      </c>
      <c r="B165" s="464"/>
      <c r="C165" s="464" t="s">
        <v>414</v>
      </c>
      <c r="D165" s="465">
        <f>IF(D177=0,0,D180/D177)</f>
        <v>0</v>
      </c>
      <c r="E165" s="465">
        <f>IF(E177=0,0,E180/E177)</f>
        <v>0.04049470018628017</v>
      </c>
      <c r="F165" s="465">
        <f>IF(F177=0,0,F180/F177)</f>
        <v>0.04072841325685021</v>
      </c>
      <c r="G165" s="465">
        <f>IF(G177=0,0,G180/G177)</f>
        <v>0.037818765106662794</v>
      </c>
    </row>
    <row r="166" spans="1:7" ht="12.75">
      <c r="A166" s="517" t="s">
        <v>415</v>
      </c>
      <c r="B166" s="444"/>
      <c r="C166" s="444" t="s">
        <v>282</v>
      </c>
      <c r="D166" s="442">
        <f>D55</f>
        <v>0</v>
      </c>
      <c r="E166" s="442">
        <f>E55</f>
        <v>12301.064999999999</v>
      </c>
      <c r="F166" s="442">
        <f>F55</f>
        <v>10205.957000000002</v>
      </c>
      <c r="G166" s="442">
        <f>G55</f>
        <v>13468.725</v>
      </c>
    </row>
    <row r="167" spans="1:7" ht="12.75">
      <c r="A167" s="518" t="s">
        <v>416</v>
      </c>
      <c r="B167" s="459"/>
      <c r="C167" s="459" t="s">
        <v>417</v>
      </c>
      <c r="D167" s="460">
        <f>IF(0=D111,0,(D44+D45+D46+D47+D48)/D111)</f>
        <v>0</v>
      </c>
      <c r="E167" s="460">
        <f>IF(0=E111,0,(E44+E45+E46+E47+E48)/E111)</f>
        <v>0</v>
      </c>
      <c r="F167" s="460">
        <f>IF(0=F111,0,(F44+F45+F46+F47+F48)/F111)</f>
        <v>0.006879746449201361</v>
      </c>
      <c r="G167" s="460">
        <f>IF(0=G111,0,(G44+G45+G46+G47+G48)/G111)</f>
        <v>0</v>
      </c>
    </row>
    <row r="168" spans="1:7" ht="12.75">
      <c r="A168" s="517" t="s">
        <v>418</v>
      </c>
      <c r="B168" s="441"/>
      <c r="C168" s="441" t="s">
        <v>419</v>
      </c>
      <c r="D168" s="442">
        <f>D38-D44</f>
        <v>0</v>
      </c>
      <c r="E168" s="442">
        <f>E38-E44</f>
        <v>2438.86</v>
      </c>
      <c r="F168" s="442">
        <f>F38-F44</f>
        <v>1774.7169999999999</v>
      </c>
      <c r="G168" s="442">
        <f>G38-G44</f>
        <v>2146.6</v>
      </c>
    </row>
    <row r="169" spans="1:7" ht="12.75">
      <c r="A169" s="518" t="s">
        <v>420</v>
      </c>
      <c r="B169" s="459"/>
      <c r="C169" s="459" t="s">
        <v>421</v>
      </c>
      <c r="D169" s="445">
        <f>IF(D177=0,0,D168/D177)</f>
        <v>0</v>
      </c>
      <c r="E169" s="445">
        <f>IF(E177=0,0,E168/E177)</f>
        <v>0.007097105311304765</v>
      </c>
      <c r="F169" s="445">
        <f>IF(F177=0,0,F168/F177)</f>
        <v>0.005156618712993345</v>
      </c>
      <c r="G169" s="445">
        <f>IF(G177=0,0,G168/G177)</f>
        <v>0.0061099310023247306</v>
      </c>
    </row>
    <row r="170" spans="1:7" ht="12.75">
      <c r="A170" s="517" t="s">
        <v>422</v>
      </c>
      <c r="B170" s="444"/>
      <c r="C170" s="444" t="s">
        <v>423</v>
      </c>
      <c r="D170" s="442">
        <f>SUM(D82:D87)+SUM(D89:D94)</f>
        <v>0</v>
      </c>
      <c r="E170" s="442">
        <f>SUM(E82:E87)+SUM(E89:E94)</f>
        <v>66388.2</v>
      </c>
      <c r="F170" s="442">
        <f>SUM(F82:F87)+SUM(F89:F94)</f>
        <v>53714.053</v>
      </c>
      <c r="G170" s="442">
        <f>SUM(G82:G87)+SUM(G89:G94)</f>
        <v>69262.5</v>
      </c>
    </row>
    <row r="171" spans="1:7" ht="12.75">
      <c r="A171" s="517" t="s">
        <v>424</v>
      </c>
      <c r="B171" s="444"/>
      <c r="C171" s="444" t="s">
        <v>425</v>
      </c>
      <c r="D171" s="461">
        <f>SUM(D96:D102)+SUM(D104:D105)</f>
        <v>0</v>
      </c>
      <c r="E171" s="461">
        <f>SUM(E96:E102)+SUM(E104:E105)</f>
        <v>39763.7</v>
      </c>
      <c r="F171" s="461">
        <f>SUM(F96:F102)+SUM(F104:F105)</f>
        <v>33270.349</v>
      </c>
      <c r="G171" s="461">
        <f>SUM(G96:G102)+SUM(G104:G105)</f>
        <v>41466</v>
      </c>
    </row>
    <row r="172" spans="1:7" ht="12.75">
      <c r="A172" s="519" t="s">
        <v>413</v>
      </c>
      <c r="B172" s="464"/>
      <c r="C172" s="464" t="s">
        <v>426</v>
      </c>
      <c r="D172" s="465">
        <f>IF(D184=0,0,D170/D184)</f>
        <v>0</v>
      </c>
      <c r="E172" s="465">
        <f>IF(E184=0,0,E170/E184)</f>
        <v>0.16799089244528373</v>
      </c>
      <c r="F172" s="465">
        <f>IF(F184=0,0,F170/F184)</f>
        <v>0.14212816848076723</v>
      </c>
      <c r="G172" s="465">
        <f>IF(G184=0,0,G170/G184)</f>
        <v>0.17188361085396645</v>
      </c>
    </row>
    <row r="174" spans="1:7" ht="12.75">
      <c r="A174" s="467" t="s">
        <v>427</v>
      </c>
      <c r="B174" s="468"/>
      <c r="C174" s="467"/>
      <c r="D174" s="364"/>
      <c r="E174" s="364"/>
      <c r="F174" s="364"/>
      <c r="G174" s="364"/>
    </row>
    <row r="175" spans="1:7" s="260" customFormat="1" ht="12.75">
      <c r="A175" s="468" t="s">
        <v>428</v>
      </c>
      <c r="B175" s="468"/>
      <c r="C175" s="468" t="s">
        <v>429</v>
      </c>
      <c r="D175" s="469"/>
      <c r="E175" s="469">
        <v>35446</v>
      </c>
      <c r="F175" s="472">
        <v>35446</v>
      </c>
      <c r="G175" s="472">
        <v>35446</v>
      </c>
    </row>
    <row r="176" spans="1:7" ht="12.75">
      <c r="A176" s="467" t="s">
        <v>430</v>
      </c>
      <c r="B176" s="468"/>
      <c r="C176" s="468"/>
      <c r="D176" s="468"/>
      <c r="E176" s="468"/>
      <c r="F176" s="468"/>
      <c r="G176" s="468"/>
    </row>
    <row r="177" spans="1:7" ht="12.75">
      <c r="A177" s="468" t="s">
        <v>431</v>
      </c>
      <c r="B177" s="468"/>
      <c r="C177" s="468" t="s">
        <v>432</v>
      </c>
      <c r="D177" s="472">
        <f>SUM(D22:D32)+SUM(D44:D53)+SUM(D65:D72)+D75</f>
        <v>0</v>
      </c>
      <c r="E177" s="472">
        <f>SUM(E22:E32)+SUM(E44:E53)+SUM(E65:E72)+E75</f>
        <v>343641.512</v>
      </c>
      <c r="F177" s="472">
        <f>SUM(F22:F32)+SUM(F44:F53)+SUM(F65:F72)+F75</f>
        <v>344162.929</v>
      </c>
      <c r="G177" s="472">
        <f>SUM(G22:G32)+SUM(G44:G53)+SUM(G65:G72)+G75</f>
        <v>351329.663</v>
      </c>
    </row>
    <row r="178" spans="1:7" ht="12.75">
      <c r="A178" s="468" t="s">
        <v>433</v>
      </c>
      <c r="B178" s="468"/>
      <c r="C178" s="468" t="s">
        <v>434</v>
      </c>
      <c r="D178" s="472">
        <f>D78-D17-D20-D59-D63-D64</f>
        <v>0</v>
      </c>
      <c r="E178" s="472">
        <f>E78-E17-E20-E59-E63-E64</f>
        <v>341042.50099999993</v>
      </c>
      <c r="F178" s="472">
        <f>F78-F17-F20-F59-F63-F64</f>
        <v>339527.96499999997</v>
      </c>
      <c r="G178" s="472">
        <f>G78-G17-G20-G59-G63-G64</f>
        <v>345984.98399999994</v>
      </c>
    </row>
    <row r="179" spans="1:7" ht="12.75">
      <c r="A179" s="468"/>
      <c r="B179" s="468"/>
      <c r="C179" s="468" t="s">
        <v>435</v>
      </c>
      <c r="D179" s="472">
        <f>D178+D170</f>
        <v>0</v>
      </c>
      <c r="E179" s="472">
        <f>E178+E170</f>
        <v>407430.70099999994</v>
      </c>
      <c r="F179" s="472">
        <f>F178+F170</f>
        <v>393242.018</v>
      </c>
      <c r="G179" s="472">
        <f>G178+G170</f>
        <v>415247.48399999994</v>
      </c>
    </row>
    <row r="180" spans="1:7" ht="12.75">
      <c r="A180" s="468" t="s">
        <v>436</v>
      </c>
      <c r="B180" s="468"/>
      <c r="C180" s="468" t="s">
        <v>437</v>
      </c>
      <c r="D180" s="472">
        <f>D38-D44+D8+D9+D10+D16-D33</f>
        <v>0</v>
      </c>
      <c r="E180" s="472">
        <f>E38-E44+E8+E9+E10+E16-E33</f>
        <v>13915.66</v>
      </c>
      <c r="F180" s="472">
        <f>F38-F44+F8+F9+F10+F16-F33</f>
        <v>14017.21</v>
      </c>
      <c r="G180" s="472">
        <f>G38-G44+G8+G9+G10+G16-G33</f>
        <v>13286.854</v>
      </c>
    </row>
    <row r="181" spans="1:7" ht="27" customHeight="1">
      <c r="A181" s="473" t="s">
        <v>438</v>
      </c>
      <c r="B181" s="474"/>
      <c r="C181" s="474" t="s">
        <v>439</v>
      </c>
      <c r="D181" s="475">
        <f>D22+D23+D24+D25+D26+D29+SUM(D44:D47)+SUM(D49:D53)-D54+D32-D33+SUM(D65:D70)+D72</f>
        <v>0</v>
      </c>
      <c r="E181" s="475">
        <f>E22+E23+E24+E25+E26+E29+SUM(E44:E47)+SUM(E49:E53)-E54+E32-E33+SUM(E65:E70)+E72</f>
        <v>341543.912</v>
      </c>
      <c r="F181" s="475">
        <f>F22+F23+F24+F25+F26+F29+SUM(F44:F47)+SUM(F49:F53)-F54+F32-F33+SUM(F65:F70)+F72</f>
        <v>340501.838</v>
      </c>
      <c r="G181" s="475">
        <f>G22+G23+G24+G25+G26+G29+SUM(G44:G47)+SUM(G49:G53)-G54+G32-G33+SUM(G65:G70)+G72</f>
        <v>348469.113</v>
      </c>
    </row>
    <row r="182" spans="1:7" ht="12.75">
      <c r="A182" s="474" t="s">
        <v>440</v>
      </c>
      <c r="B182" s="474"/>
      <c r="C182" s="474" t="s">
        <v>441</v>
      </c>
      <c r="D182" s="475">
        <f>D181+D171</f>
        <v>0</v>
      </c>
      <c r="E182" s="475">
        <f>E181+E171</f>
        <v>381307.612</v>
      </c>
      <c r="F182" s="475">
        <f>F181+F171</f>
        <v>373772.187</v>
      </c>
      <c r="G182" s="475">
        <f>G181+G171</f>
        <v>389935.113</v>
      </c>
    </row>
    <row r="183" spans="1:7" ht="12.75">
      <c r="A183" s="474" t="s">
        <v>442</v>
      </c>
      <c r="B183" s="474"/>
      <c r="C183" s="474" t="s">
        <v>443</v>
      </c>
      <c r="D183" s="475">
        <f>D4+D5-D7+D38+D39+D40+D41+D43+D13-D16+D57+D58+D60+D61+D62</f>
        <v>0</v>
      </c>
      <c r="E183" s="475">
        <f>E4+E5-E7+E38+E39+E40+E41+E43+E13-E16+E57+E58+E60+E61+E62</f>
        <v>328801.08099999995</v>
      </c>
      <c r="F183" s="475">
        <f>F4+F5-F7+F38+F39+F40+F41+F43+F13-F16+F57+F58+F60+F61+F62</f>
        <v>324212.811</v>
      </c>
      <c r="G183" s="475">
        <f>G4+G5-G7+G38+G39+G40+G41+G43+G13-G16+G57+G58+G60+G61+G62</f>
        <v>333699.12999999995</v>
      </c>
    </row>
    <row r="184" spans="1:7" ht="12.75">
      <c r="A184" s="474" t="s">
        <v>444</v>
      </c>
      <c r="B184" s="474"/>
      <c r="C184" s="474" t="s">
        <v>445</v>
      </c>
      <c r="D184" s="475">
        <f>D183+D170</f>
        <v>0</v>
      </c>
      <c r="E184" s="475">
        <f>E183+E170</f>
        <v>395189.28099999996</v>
      </c>
      <c r="F184" s="475">
        <f>F183+F170</f>
        <v>377926.864</v>
      </c>
      <c r="G184" s="475">
        <f>G183+G170</f>
        <v>402961.62999999995</v>
      </c>
    </row>
    <row r="185" spans="1:7" ht="12.75">
      <c r="A185" s="474"/>
      <c r="B185" s="474"/>
      <c r="C185" s="474" t="s">
        <v>446</v>
      </c>
      <c r="D185" s="475">
        <f aca="true" t="shared" si="0" ref="D185:G186">D181-D183</f>
        <v>0</v>
      </c>
      <c r="E185" s="475">
        <f t="shared" si="0"/>
        <v>12742.831000000064</v>
      </c>
      <c r="F185" s="475">
        <f t="shared" si="0"/>
        <v>16289.027000000002</v>
      </c>
      <c r="G185" s="475">
        <f t="shared" si="0"/>
        <v>14769.983000000066</v>
      </c>
    </row>
    <row r="186" spans="1:7" ht="12.75">
      <c r="A186" s="474"/>
      <c r="B186" s="474"/>
      <c r="C186" s="474" t="s">
        <v>447</v>
      </c>
      <c r="D186" s="475">
        <f t="shared" si="0"/>
        <v>0</v>
      </c>
      <c r="E186" s="475">
        <f t="shared" si="0"/>
        <v>-13881.668999999936</v>
      </c>
      <c r="F186" s="475">
        <f t="shared" si="0"/>
        <v>-4154.677000000025</v>
      </c>
      <c r="G186" s="475">
        <f t="shared" si="0"/>
        <v>-13026.516999999934</v>
      </c>
    </row>
  </sheetData>
  <sheetProtection selectLockedCells="1"/>
  <mergeCells count="2">
    <mergeCell ref="A3:C3"/>
    <mergeCell ref="A81:C8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&amp;LFachgruppe für kantonale Finanzfragen (FkF)
Groupe d'études pour les finances cantonales
&amp;CRechnung 2011 - Budget 2013
Compte 2011 - Budget 2013&amp;RZürich, 12.9.2013</oddHeader>
    <oddFooter>&amp;LQuelle/Source: FkF Sept. 2013</oddFooter>
  </headerFooter>
  <rowBreaks count="2" manualBreakCount="2">
    <brk id="79" max="6" man="1"/>
    <brk id="14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3" width="12.28125" style="0" bestFit="1" customWidth="1"/>
    <col min="4" max="4" width="9.140625" style="0" customWidth="1"/>
    <col min="5" max="5" width="10.00390625" style="0" customWidth="1"/>
    <col min="6" max="6" width="9.28125" style="0" customWidth="1"/>
    <col min="7" max="7" width="11.57421875" style="0" bestFit="1" customWidth="1"/>
    <col min="8" max="8" width="10.8515625" style="0" customWidth="1"/>
    <col min="9" max="9" width="11.28125" style="0" customWidth="1"/>
  </cols>
  <sheetData>
    <row r="1" spans="1:9" ht="12.75">
      <c r="A1" s="5" t="s">
        <v>20</v>
      </c>
      <c r="B1" s="6" t="s">
        <v>107</v>
      </c>
      <c r="C1" s="57" t="s">
        <v>22</v>
      </c>
      <c r="D1" s="7" t="s">
        <v>23</v>
      </c>
      <c r="E1" s="57" t="s">
        <v>105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 t="s">
        <v>102</v>
      </c>
      <c r="F3" s="134">
        <v>0</v>
      </c>
      <c r="G3" s="135">
        <v>0</v>
      </c>
      <c r="H3" s="134">
        <v>0</v>
      </c>
      <c r="I3" s="115" t="s">
        <v>103</v>
      </c>
    </row>
    <row r="4" spans="1:9" ht="12.75">
      <c r="A4" s="5" t="s">
        <v>28</v>
      </c>
      <c r="B4" s="9" t="s">
        <v>29</v>
      </c>
      <c r="C4" s="10">
        <v>203762.6</v>
      </c>
      <c r="D4" s="11">
        <v>0.041550313943775716</v>
      </c>
      <c r="E4" s="10">
        <v>212229</v>
      </c>
      <c r="F4" s="11">
        <v>-0.014121538526780034</v>
      </c>
      <c r="G4" s="10">
        <v>209232</v>
      </c>
      <c r="H4" s="11">
        <v>0.058069511355815555</v>
      </c>
      <c r="I4" s="12">
        <v>221382</v>
      </c>
    </row>
    <row r="5" spans="1:9" ht="12.75">
      <c r="A5" s="13" t="s">
        <v>30</v>
      </c>
      <c r="B5" s="14" t="s">
        <v>31</v>
      </c>
      <c r="C5" s="15">
        <v>79377.8</v>
      </c>
      <c r="D5" s="16">
        <v>0.13214651955584558</v>
      </c>
      <c r="E5" s="15">
        <v>89867.3</v>
      </c>
      <c r="F5" s="16">
        <v>-0.07355623235592927</v>
      </c>
      <c r="G5" s="15">
        <v>83257</v>
      </c>
      <c r="H5" s="16">
        <v>0.055815126656016914</v>
      </c>
      <c r="I5" s="17">
        <v>87904</v>
      </c>
    </row>
    <row r="6" spans="1:9" ht="12.75">
      <c r="A6" s="13" t="s">
        <v>32</v>
      </c>
      <c r="B6" s="14" t="s">
        <v>33</v>
      </c>
      <c r="C6" s="15">
        <v>18705.2</v>
      </c>
      <c r="D6" s="16">
        <v>0.13038085666018</v>
      </c>
      <c r="E6" s="15">
        <v>21144</v>
      </c>
      <c r="F6" s="16">
        <v>-0.0510783200908059</v>
      </c>
      <c r="G6" s="15">
        <v>20064</v>
      </c>
      <c r="H6" s="16">
        <v>-0.06095494417862839</v>
      </c>
      <c r="I6" s="17">
        <v>18841</v>
      </c>
    </row>
    <row r="7" spans="1:9" ht="12.75">
      <c r="A7" s="13" t="s">
        <v>34</v>
      </c>
      <c r="B7" s="14" t="s">
        <v>35</v>
      </c>
      <c r="C7" s="15">
        <v>6390</v>
      </c>
      <c r="D7" s="16">
        <v>-0.12363067292644757</v>
      </c>
      <c r="E7" s="15">
        <v>5600</v>
      </c>
      <c r="F7" s="16">
        <v>-0.08839285714285715</v>
      </c>
      <c r="G7" s="15">
        <v>5105</v>
      </c>
      <c r="H7" s="16">
        <v>0.13614103819784526</v>
      </c>
      <c r="I7" s="17">
        <v>5800</v>
      </c>
    </row>
    <row r="8" spans="1:9" ht="12.75">
      <c r="A8" s="13" t="s">
        <v>36</v>
      </c>
      <c r="B8" s="14" t="s">
        <v>37</v>
      </c>
      <c r="C8" s="15">
        <v>0</v>
      </c>
      <c r="D8" s="16" t="s">
        <v>48</v>
      </c>
      <c r="E8" s="15">
        <v>0</v>
      </c>
      <c r="F8" s="16" t="s">
        <v>48</v>
      </c>
      <c r="G8" s="15">
        <v>0</v>
      </c>
      <c r="H8" s="16" t="s">
        <v>48</v>
      </c>
      <c r="I8" s="17">
        <v>0</v>
      </c>
    </row>
    <row r="9" spans="1:9" ht="12.75">
      <c r="A9" s="13" t="s">
        <v>38</v>
      </c>
      <c r="B9" s="14" t="s">
        <v>39</v>
      </c>
      <c r="C9" s="15">
        <v>76769.1</v>
      </c>
      <c r="D9" s="16">
        <v>-0.0248276976022905</v>
      </c>
      <c r="E9" s="15">
        <v>74863.1</v>
      </c>
      <c r="F9" s="16">
        <v>-0.028787212925994322</v>
      </c>
      <c r="G9" s="15">
        <v>72708</v>
      </c>
      <c r="H9" s="16">
        <v>0.07832700665676404</v>
      </c>
      <c r="I9" s="17">
        <v>78403</v>
      </c>
    </row>
    <row r="10" spans="1:9" ht="12.75">
      <c r="A10" s="13" t="s">
        <v>40</v>
      </c>
      <c r="B10" s="14" t="s">
        <v>41</v>
      </c>
      <c r="C10" s="15">
        <v>759453.1</v>
      </c>
      <c r="D10" s="16">
        <v>0.048602211249121216</v>
      </c>
      <c r="E10" s="15">
        <v>796364.2</v>
      </c>
      <c r="F10" s="16">
        <v>0.02043261110933923</v>
      </c>
      <c r="G10" s="15">
        <v>812636</v>
      </c>
      <c r="H10" s="16">
        <v>0.028349716232113763</v>
      </c>
      <c r="I10" s="17">
        <v>835674</v>
      </c>
    </row>
    <row r="11" spans="1:9" ht="12.75">
      <c r="A11" s="13" t="s">
        <v>42</v>
      </c>
      <c r="B11" s="14" t="s">
        <v>43</v>
      </c>
      <c r="C11" s="15">
        <v>2180.3</v>
      </c>
      <c r="D11" s="43">
        <v>0.22918864376461945</v>
      </c>
      <c r="E11" s="15">
        <v>2680</v>
      </c>
      <c r="F11" s="16">
        <v>-0.33432835820895523</v>
      </c>
      <c r="G11" s="15">
        <v>1784</v>
      </c>
      <c r="H11" s="16">
        <v>1.7735426008968609</v>
      </c>
      <c r="I11" s="17">
        <v>4948</v>
      </c>
    </row>
    <row r="12" spans="1:9" ht="12.75">
      <c r="A12" s="13" t="s">
        <v>44</v>
      </c>
      <c r="B12" s="14" t="s">
        <v>45</v>
      </c>
      <c r="C12" s="15">
        <v>31298.1</v>
      </c>
      <c r="D12" s="43">
        <v>0.34767286193091596</v>
      </c>
      <c r="E12" s="15">
        <v>42179.6</v>
      </c>
      <c r="F12" s="16">
        <v>-0.1843213306906656</v>
      </c>
      <c r="G12" s="15">
        <v>34405</v>
      </c>
      <c r="H12" s="16">
        <v>0.204941142275832</v>
      </c>
      <c r="I12" s="17">
        <v>41456</v>
      </c>
    </row>
    <row r="13" spans="1:9" ht="12.75">
      <c r="A13" s="13" t="s">
        <v>46</v>
      </c>
      <c r="B13" s="14" t="s">
        <v>47</v>
      </c>
      <c r="C13" s="15">
        <v>186686.6</v>
      </c>
      <c r="D13" s="43">
        <v>0.009701821126958134</v>
      </c>
      <c r="E13" s="15">
        <v>188497.8</v>
      </c>
      <c r="F13" s="43">
        <v>0.05324306172273635</v>
      </c>
      <c r="G13" s="15">
        <v>198534</v>
      </c>
      <c r="H13" s="43">
        <v>-0.016218884422819265</v>
      </c>
      <c r="I13" s="17">
        <v>195314</v>
      </c>
    </row>
    <row r="14" spans="1:9" ht="12.75">
      <c r="A14" s="13" t="s">
        <v>49</v>
      </c>
      <c r="B14" s="14" t="s">
        <v>50</v>
      </c>
      <c r="C14" s="15">
        <v>0</v>
      </c>
      <c r="D14" s="43" t="s">
        <v>48</v>
      </c>
      <c r="E14" s="15">
        <v>0</v>
      </c>
      <c r="F14" s="16" t="s">
        <v>48</v>
      </c>
      <c r="G14" s="15">
        <v>0</v>
      </c>
      <c r="H14" s="16" t="s">
        <v>48</v>
      </c>
      <c r="I14" s="17">
        <v>0</v>
      </c>
    </row>
    <row r="15" spans="1:9" ht="12.75">
      <c r="A15" s="13" t="s">
        <v>51</v>
      </c>
      <c r="B15" s="14" t="s">
        <v>52</v>
      </c>
      <c r="C15" s="15">
        <v>0</v>
      </c>
      <c r="D15" s="43" t="s">
        <v>48</v>
      </c>
      <c r="E15" s="15">
        <v>0</v>
      </c>
      <c r="F15" s="16" t="s">
        <v>48</v>
      </c>
      <c r="G15" s="15">
        <v>0</v>
      </c>
      <c r="H15" s="16" t="s">
        <v>48</v>
      </c>
      <c r="I15" s="17">
        <v>0</v>
      </c>
    </row>
    <row r="16" spans="1:9" ht="12.75">
      <c r="A16" s="13" t="s">
        <v>53</v>
      </c>
      <c r="B16" s="14" t="s">
        <v>54</v>
      </c>
      <c r="C16" s="15">
        <v>79603.4</v>
      </c>
      <c r="D16" s="43">
        <v>-0.036676825361730676</v>
      </c>
      <c r="E16" s="15">
        <v>76683.8</v>
      </c>
      <c r="F16" s="43">
        <v>0.04805708637287141</v>
      </c>
      <c r="G16" s="15">
        <v>80369</v>
      </c>
      <c r="H16" s="43">
        <v>0.0051636825144023195</v>
      </c>
      <c r="I16" s="17">
        <v>80784</v>
      </c>
    </row>
    <row r="17" spans="1:9" ht="12.75">
      <c r="A17" s="13" t="s">
        <v>55</v>
      </c>
      <c r="B17" s="14" t="s">
        <v>56</v>
      </c>
      <c r="C17" s="15">
        <v>1908.3</v>
      </c>
      <c r="D17" s="16">
        <v>-1</v>
      </c>
      <c r="E17" s="15">
        <v>0</v>
      </c>
      <c r="F17" s="16" t="s">
        <v>48</v>
      </c>
      <c r="G17" s="15">
        <v>4934</v>
      </c>
      <c r="H17" s="16">
        <v>-0.8540737738143495</v>
      </c>
      <c r="I17" s="17">
        <v>720</v>
      </c>
    </row>
    <row r="18" spans="1:9" ht="12.75">
      <c r="A18" s="13">
        <v>389</v>
      </c>
      <c r="B18" s="14" t="s">
        <v>57</v>
      </c>
      <c r="C18" s="15">
        <v>0</v>
      </c>
      <c r="D18" s="43" t="s">
        <v>48</v>
      </c>
      <c r="E18" s="15">
        <v>0</v>
      </c>
      <c r="F18" s="43" t="s">
        <v>48</v>
      </c>
      <c r="G18" s="15">
        <v>0</v>
      </c>
      <c r="H18" s="43" t="s">
        <v>48</v>
      </c>
      <c r="I18" s="17">
        <v>0</v>
      </c>
    </row>
    <row r="19" spans="1:9" ht="12.75">
      <c r="A19" s="18" t="s">
        <v>58</v>
      </c>
      <c r="B19" s="19" t="s">
        <v>59</v>
      </c>
      <c r="C19" s="20">
        <v>88242.7</v>
      </c>
      <c r="D19" s="43">
        <v>-0.053258796478348885</v>
      </c>
      <c r="E19" s="20">
        <v>83543</v>
      </c>
      <c r="F19" s="43">
        <v>0.15808625498246412</v>
      </c>
      <c r="G19" s="20">
        <v>96750</v>
      </c>
      <c r="H19" s="43">
        <v>-0.01220671834625323</v>
      </c>
      <c r="I19" s="21">
        <v>95569</v>
      </c>
    </row>
    <row r="20" spans="1:9" ht="12.75">
      <c r="A20" s="22" t="s">
        <v>60</v>
      </c>
      <c r="B20" s="23" t="s">
        <v>61</v>
      </c>
      <c r="C20" s="24">
        <v>1215903.6</v>
      </c>
      <c r="D20" s="25">
        <v>0.03829497667413746</v>
      </c>
      <c r="E20" s="24">
        <v>1262466.5999999999</v>
      </c>
      <c r="F20" s="25">
        <v>0.017549295957611982</v>
      </c>
      <c r="G20" s="24">
        <v>1284622</v>
      </c>
      <c r="H20" s="25">
        <v>0.03178366865895182</v>
      </c>
      <c r="I20" s="26">
        <v>1325452</v>
      </c>
    </row>
    <row r="21" spans="1:9" ht="12.75">
      <c r="A21" s="27" t="s">
        <v>62</v>
      </c>
      <c r="B21" s="28" t="s">
        <v>63</v>
      </c>
      <c r="C21" s="10">
        <v>468698.4</v>
      </c>
      <c r="D21" s="16">
        <v>0.014042292442218655</v>
      </c>
      <c r="E21" s="10">
        <v>475280</v>
      </c>
      <c r="F21" s="16">
        <v>0.010625315603433765</v>
      </c>
      <c r="G21" s="10">
        <v>480330</v>
      </c>
      <c r="H21" s="16">
        <v>0.037688672371078216</v>
      </c>
      <c r="I21" s="12">
        <v>498433</v>
      </c>
    </row>
    <row r="22" spans="1:9" ht="12.75">
      <c r="A22" s="8" t="s">
        <v>64</v>
      </c>
      <c r="B22" s="29" t="s">
        <v>65</v>
      </c>
      <c r="C22" s="15">
        <v>46768.8</v>
      </c>
      <c r="D22" s="16">
        <v>0.01713107883888398</v>
      </c>
      <c r="E22" s="15">
        <v>47570</v>
      </c>
      <c r="F22" s="16">
        <v>0.024553289888585243</v>
      </c>
      <c r="G22" s="15">
        <v>48738</v>
      </c>
      <c r="H22" s="16">
        <v>0.014608724198777135</v>
      </c>
      <c r="I22" s="17">
        <v>49450</v>
      </c>
    </row>
    <row r="23" spans="1:9" ht="12.75">
      <c r="A23" s="8" t="s">
        <v>66</v>
      </c>
      <c r="B23" s="29" t="s">
        <v>67</v>
      </c>
      <c r="C23" s="15">
        <v>80745.6</v>
      </c>
      <c r="D23" s="16">
        <v>-0.4102650794594381</v>
      </c>
      <c r="E23" s="15">
        <v>47618.5</v>
      </c>
      <c r="F23" s="16">
        <v>0.26583155706290623</v>
      </c>
      <c r="G23" s="15">
        <v>60277</v>
      </c>
      <c r="H23" s="16">
        <v>-0.016490535361746602</v>
      </c>
      <c r="I23" s="17">
        <v>59283</v>
      </c>
    </row>
    <row r="24" spans="1:9" ht="12.75">
      <c r="A24" s="8" t="s">
        <v>68</v>
      </c>
      <c r="B24" s="29" t="s">
        <v>69</v>
      </c>
      <c r="C24" s="15">
        <v>68539.2</v>
      </c>
      <c r="D24" s="16">
        <v>-0.040219319746947604</v>
      </c>
      <c r="E24" s="15">
        <v>65782.6</v>
      </c>
      <c r="F24" s="16">
        <v>0.09097238479476326</v>
      </c>
      <c r="G24" s="15">
        <v>71767</v>
      </c>
      <c r="H24" s="16">
        <v>-0.02718519653879917</v>
      </c>
      <c r="I24" s="17">
        <v>69816</v>
      </c>
    </row>
    <row r="25" spans="1:9" ht="12.75">
      <c r="A25" s="8" t="s">
        <v>70</v>
      </c>
      <c r="B25" s="29" t="s">
        <v>71</v>
      </c>
      <c r="C25" s="15">
        <v>409266.7</v>
      </c>
      <c r="D25" s="16">
        <v>0.05280224362255715</v>
      </c>
      <c r="E25" s="15">
        <v>430876.9</v>
      </c>
      <c r="F25" s="16">
        <v>0.0021887922049197268</v>
      </c>
      <c r="G25" s="15">
        <v>431820</v>
      </c>
      <c r="H25" s="16">
        <v>0.0472627483673753</v>
      </c>
      <c r="I25" s="17">
        <v>452229</v>
      </c>
    </row>
    <row r="26" spans="1:9" ht="12.75">
      <c r="A26" s="59" t="s">
        <v>72</v>
      </c>
      <c r="B26" s="29" t="s">
        <v>73</v>
      </c>
      <c r="C26" s="15">
        <v>5364.3</v>
      </c>
      <c r="D26" s="16">
        <v>2.5106351248065915</v>
      </c>
      <c r="E26" s="15">
        <v>18832.1</v>
      </c>
      <c r="F26" s="16">
        <v>-0.993627901296191</v>
      </c>
      <c r="G26" s="15">
        <v>120</v>
      </c>
      <c r="H26" s="16">
        <v>-0.9666666666666667</v>
      </c>
      <c r="I26" s="17">
        <v>4</v>
      </c>
    </row>
    <row r="27" spans="1:9" ht="12.75">
      <c r="A27" s="195">
        <v>489</v>
      </c>
      <c r="B27" s="29" t="s">
        <v>74</v>
      </c>
      <c r="C27" s="15">
        <v>0</v>
      </c>
      <c r="D27" s="16" t="s">
        <v>48</v>
      </c>
      <c r="E27" s="15">
        <v>0</v>
      </c>
      <c r="F27" s="16" t="s">
        <v>48</v>
      </c>
      <c r="G27" s="15">
        <v>0</v>
      </c>
      <c r="H27" s="16" t="s">
        <v>48</v>
      </c>
      <c r="I27" s="17">
        <v>0</v>
      </c>
    </row>
    <row r="28" spans="1:9" ht="12.75">
      <c r="A28" s="30" t="s">
        <v>75</v>
      </c>
      <c r="B28" s="31" t="s">
        <v>76</v>
      </c>
      <c r="C28" s="20">
        <v>88242.7</v>
      </c>
      <c r="D28" s="16">
        <v>-0.053258796478348885</v>
      </c>
      <c r="E28" s="20">
        <v>83543</v>
      </c>
      <c r="F28" s="16">
        <v>0.15808625498246412</v>
      </c>
      <c r="G28" s="20">
        <v>96750</v>
      </c>
      <c r="H28" s="16">
        <v>-0.01220671834625323</v>
      </c>
      <c r="I28" s="21">
        <v>95569</v>
      </c>
    </row>
    <row r="29" spans="1:9" ht="12.75">
      <c r="A29" s="51" t="s">
        <v>77</v>
      </c>
      <c r="B29" s="52" t="s">
        <v>78</v>
      </c>
      <c r="C29" s="24">
        <v>1167625.7</v>
      </c>
      <c r="D29" s="53">
        <v>0.001607878278116129</v>
      </c>
      <c r="E29" s="24">
        <v>1169503.1</v>
      </c>
      <c r="F29" s="53">
        <v>0.017356858652191606</v>
      </c>
      <c r="G29" s="24">
        <v>1189802</v>
      </c>
      <c r="H29" s="54">
        <v>0.02940153067485178</v>
      </c>
      <c r="I29" s="26">
        <v>1224784</v>
      </c>
    </row>
    <row r="30" spans="1:9" ht="12.75">
      <c r="A30" s="50" t="s">
        <v>79</v>
      </c>
      <c r="B30" s="32" t="s">
        <v>80</v>
      </c>
      <c r="C30" s="33">
        <v>-48277.90000000014</v>
      </c>
      <c r="D30" s="136">
        <v>0</v>
      </c>
      <c r="E30" s="33">
        <v>-92963.49999999977</v>
      </c>
      <c r="F30" s="136">
        <v>0</v>
      </c>
      <c r="G30" s="34">
        <v>-94820</v>
      </c>
      <c r="H30" s="137">
        <v>0</v>
      </c>
      <c r="I30" s="35">
        <v>-100668</v>
      </c>
    </row>
    <row r="31" spans="1:9" ht="12.75">
      <c r="A31" s="140">
        <v>0</v>
      </c>
      <c r="B31" s="28" t="s">
        <v>81</v>
      </c>
      <c r="C31" s="138">
        <v>0</v>
      </c>
      <c r="D31" s="143">
        <v>0</v>
      </c>
      <c r="E31" s="138">
        <v>0</v>
      </c>
      <c r="F31" s="143">
        <v>0</v>
      </c>
      <c r="G31" s="138">
        <v>0</v>
      </c>
      <c r="H31" s="138">
        <v>0</v>
      </c>
      <c r="I31" s="139">
        <v>0</v>
      </c>
    </row>
    <row r="32" spans="1:9" ht="12.75">
      <c r="A32" s="59" t="s">
        <v>82</v>
      </c>
      <c r="B32" s="29" t="s">
        <v>83</v>
      </c>
      <c r="C32" s="15">
        <v>50432.8</v>
      </c>
      <c r="D32" s="16">
        <v>0.3975151092146381</v>
      </c>
      <c r="E32" s="15">
        <v>70480.6</v>
      </c>
      <c r="F32" s="16">
        <v>-0.18508071724701555</v>
      </c>
      <c r="G32" s="15">
        <v>57436</v>
      </c>
      <c r="H32" s="16">
        <v>0.31213872832369943</v>
      </c>
      <c r="I32" s="17">
        <v>75364</v>
      </c>
    </row>
    <row r="33" spans="1:9" ht="12.75">
      <c r="A33" s="59" t="s">
        <v>84</v>
      </c>
      <c r="B33" s="29" t="s">
        <v>85</v>
      </c>
      <c r="C33" s="15">
        <v>15488.1</v>
      </c>
      <c r="D33" s="16">
        <v>-1</v>
      </c>
      <c r="E33" s="15">
        <v>0</v>
      </c>
      <c r="F33" s="16" t="s">
        <v>48</v>
      </c>
      <c r="G33" s="15">
        <v>891</v>
      </c>
      <c r="H33" s="16">
        <v>-1</v>
      </c>
      <c r="I33" s="17">
        <v>0</v>
      </c>
    </row>
    <row r="34" spans="1:9" ht="12.75">
      <c r="A34" s="8" t="s">
        <v>86</v>
      </c>
      <c r="B34" s="29" t="s">
        <v>87</v>
      </c>
      <c r="C34" s="15">
        <v>30987.1</v>
      </c>
      <c r="D34" s="16">
        <v>0.3528726470047213</v>
      </c>
      <c r="E34" s="15">
        <v>41921.6</v>
      </c>
      <c r="F34" s="16">
        <v>-0.20191500324415096</v>
      </c>
      <c r="G34" s="15">
        <v>33457</v>
      </c>
      <c r="H34" s="16">
        <v>0.5053053172729175</v>
      </c>
      <c r="I34" s="17">
        <v>50363</v>
      </c>
    </row>
    <row r="35" spans="1:9" ht="12.75">
      <c r="A35" s="51" t="s">
        <v>88</v>
      </c>
      <c r="B35" s="52" t="s">
        <v>89</v>
      </c>
      <c r="C35" s="24">
        <v>96908</v>
      </c>
      <c r="D35" s="54">
        <v>0.1598856647542</v>
      </c>
      <c r="E35" s="24">
        <v>112402.20000000001</v>
      </c>
      <c r="F35" s="54">
        <v>-0.18343235274754416</v>
      </c>
      <c r="G35" s="24">
        <v>91784</v>
      </c>
      <c r="H35" s="54">
        <v>0.36981391092129345</v>
      </c>
      <c r="I35" s="26">
        <v>125727</v>
      </c>
    </row>
    <row r="36" spans="1:9" ht="12.75">
      <c r="A36" s="8" t="s">
        <v>90</v>
      </c>
      <c r="B36" s="29" t="s">
        <v>91</v>
      </c>
      <c r="C36" s="15">
        <v>0</v>
      </c>
      <c r="D36" s="16" t="s">
        <v>48</v>
      </c>
      <c r="E36" s="15">
        <v>0</v>
      </c>
      <c r="F36" s="16" t="s">
        <v>48</v>
      </c>
      <c r="G36" s="15">
        <v>0</v>
      </c>
      <c r="H36" s="16" t="s">
        <v>48</v>
      </c>
      <c r="I36" s="17">
        <v>0</v>
      </c>
    </row>
    <row r="37" spans="1:9" ht="12.75">
      <c r="A37" s="8" t="s">
        <v>92</v>
      </c>
      <c r="B37" s="29" t="s">
        <v>93</v>
      </c>
      <c r="C37" s="15">
        <v>27876.8</v>
      </c>
      <c r="D37" s="16">
        <v>0.2776681685128854</v>
      </c>
      <c r="E37" s="15">
        <v>35617.3</v>
      </c>
      <c r="F37" s="16">
        <v>0.024109070592099824</v>
      </c>
      <c r="G37" s="15">
        <v>36476</v>
      </c>
      <c r="H37" s="16">
        <v>0.06752385129948459</v>
      </c>
      <c r="I37" s="17">
        <v>38939</v>
      </c>
    </row>
    <row r="38" spans="1:9" ht="12.75">
      <c r="A38" s="51" t="s">
        <v>94</v>
      </c>
      <c r="B38" s="52" t="s">
        <v>95</v>
      </c>
      <c r="C38" s="24">
        <v>27876.8</v>
      </c>
      <c r="D38" s="54">
        <v>0.2776681685128854</v>
      </c>
      <c r="E38" s="24">
        <v>35617.3</v>
      </c>
      <c r="F38" s="54">
        <v>0.024109070592099824</v>
      </c>
      <c r="G38" s="24">
        <v>36476</v>
      </c>
      <c r="H38" s="54">
        <v>0.06752385129948459</v>
      </c>
      <c r="I38" s="26">
        <v>38939</v>
      </c>
    </row>
    <row r="39" spans="1:9" ht="12.75">
      <c r="A39" s="36" t="s">
        <v>96</v>
      </c>
      <c r="B39" s="37" t="s">
        <v>3</v>
      </c>
      <c r="C39" s="38">
        <v>69031.2</v>
      </c>
      <c r="D39" s="39">
        <v>0.11232167483688553</v>
      </c>
      <c r="E39" s="38">
        <v>76784.90000000001</v>
      </c>
      <c r="F39" s="39">
        <v>-0.2797021289342046</v>
      </c>
      <c r="G39" s="38">
        <v>55308</v>
      </c>
      <c r="H39" s="39">
        <v>0.5691762493671801</v>
      </c>
      <c r="I39" s="40">
        <v>86788</v>
      </c>
    </row>
    <row r="40" spans="1:9" ht="12.75">
      <c r="A40" s="131" t="s">
        <v>0</v>
      </c>
      <c r="B40" s="29" t="s">
        <v>97</v>
      </c>
      <c r="C40" s="15">
        <v>28491.199999999866</v>
      </c>
      <c r="D40" s="16">
        <v>-1.6352979165496662</v>
      </c>
      <c r="E40" s="15">
        <v>-18100.39999999976</v>
      </c>
      <c r="F40" s="16">
        <v>0.22163046120529334</v>
      </c>
      <c r="G40" s="15">
        <v>-22112</v>
      </c>
      <c r="H40" s="16">
        <v>0.00691931982633864</v>
      </c>
      <c r="I40" s="17">
        <v>-22265</v>
      </c>
    </row>
    <row r="41" spans="1:9" ht="12.75">
      <c r="A41" s="131" t="s">
        <v>0</v>
      </c>
      <c r="B41" s="29" t="s">
        <v>98</v>
      </c>
      <c r="C41" s="15">
        <v>-40540.00000000013</v>
      </c>
      <c r="D41" s="16">
        <v>1.3405352738036376</v>
      </c>
      <c r="E41" s="15">
        <v>-94885.29999999977</v>
      </c>
      <c r="F41" s="16">
        <v>-0.18406750044527248</v>
      </c>
      <c r="G41" s="15">
        <v>-77420</v>
      </c>
      <c r="H41" s="16">
        <v>0.4085895117540687</v>
      </c>
      <c r="I41" s="17">
        <v>-109053</v>
      </c>
    </row>
    <row r="42" spans="1:9" ht="12.75">
      <c r="A42" s="141" t="s">
        <v>0</v>
      </c>
      <c r="B42" s="31" t="s">
        <v>99</v>
      </c>
      <c r="C42" s="20">
        <v>1145891.5</v>
      </c>
      <c r="D42" s="129">
        <v>0.061586284565336005</v>
      </c>
      <c r="E42" s="20">
        <v>1216462.6999999997</v>
      </c>
      <c r="F42" s="129">
        <v>-0.011877635047913697</v>
      </c>
      <c r="G42" s="20">
        <v>1202014</v>
      </c>
      <c r="H42" s="129">
        <v>0.06195684908828017</v>
      </c>
      <c r="I42" s="21">
        <v>1276487</v>
      </c>
    </row>
    <row r="43" spans="1:9" ht="12.75">
      <c r="A43" s="141">
        <v>0</v>
      </c>
      <c r="B43" s="31" t="s">
        <v>5</v>
      </c>
      <c r="C43" s="66">
        <v>0.4127293165988693</v>
      </c>
      <c r="D43" s="142">
        <v>0</v>
      </c>
      <c r="E43" s="66" t="s">
        <v>100</v>
      </c>
      <c r="F43" s="234">
        <v>0</v>
      </c>
      <c r="G43" s="66" t="s">
        <v>100</v>
      </c>
      <c r="H43" s="234">
        <v>0</v>
      </c>
      <c r="I43" s="235" t="s">
        <v>100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3" width="11.57421875" style="0" bestFit="1" customWidth="1"/>
    <col min="4" max="4" width="7.7109375" style="0" customWidth="1"/>
    <col min="5" max="5" width="12.28125" style="0" bestFit="1" customWidth="1"/>
    <col min="6" max="6" width="6.57421875" style="0" customWidth="1"/>
    <col min="7" max="7" width="11.57421875" style="0" bestFit="1" customWidth="1"/>
    <col min="8" max="8" width="6.00390625" style="0" customWidth="1"/>
    <col min="9" max="9" width="11.57421875" style="0" bestFit="1" customWidth="1"/>
  </cols>
  <sheetData>
    <row r="1" spans="1:9" ht="12.75">
      <c r="A1" s="5" t="s">
        <v>20</v>
      </c>
      <c r="B1" s="6" t="s">
        <v>108</v>
      </c>
      <c r="C1" s="57" t="s">
        <v>22</v>
      </c>
      <c r="D1" s="7" t="s">
        <v>23</v>
      </c>
      <c r="E1" s="57" t="s">
        <v>24</v>
      </c>
      <c r="F1" s="7" t="s">
        <v>23</v>
      </c>
      <c r="G1" s="57" t="s">
        <v>22</v>
      </c>
      <c r="H1" s="7" t="s">
        <v>23</v>
      </c>
      <c r="I1" s="58" t="s">
        <v>24</v>
      </c>
    </row>
    <row r="2" spans="1:9" ht="12.75">
      <c r="A2" s="131">
        <v>0</v>
      </c>
      <c r="B2" s="134">
        <v>0</v>
      </c>
      <c r="C2" s="68">
        <v>2011</v>
      </c>
      <c r="D2" s="3" t="s">
        <v>25</v>
      </c>
      <c r="E2" s="68">
        <v>2012</v>
      </c>
      <c r="F2" s="3" t="s">
        <v>25</v>
      </c>
      <c r="G2" s="69">
        <v>2012</v>
      </c>
      <c r="H2" s="3" t="s">
        <v>25</v>
      </c>
      <c r="I2" s="70">
        <v>2013</v>
      </c>
    </row>
    <row r="3" spans="1:9" ht="12.75">
      <c r="A3" s="131">
        <v>0</v>
      </c>
      <c r="B3" s="2" t="s">
        <v>26</v>
      </c>
      <c r="C3" s="133">
        <v>0</v>
      </c>
      <c r="D3" s="132">
        <v>0</v>
      </c>
      <c r="E3" s="133" t="s">
        <v>27</v>
      </c>
      <c r="F3" s="134">
        <v>0</v>
      </c>
      <c r="G3" s="135" t="s">
        <v>27</v>
      </c>
      <c r="H3" s="134">
        <v>0</v>
      </c>
      <c r="I3" s="115" t="s">
        <v>27</v>
      </c>
    </row>
    <row r="4" spans="1:9" ht="12.75">
      <c r="A4" s="5" t="s">
        <v>28</v>
      </c>
      <c r="B4" s="9" t="s">
        <v>29</v>
      </c>
      <c r="C4" s="10">
        <v>52227</v>
      </c>
      <c r="D4" s="11"/>
      <c r="E4" s="10"/>
      <c r="F4" s="11"/>
      <c r="G4" s="10"/>
      <c r="H4" s="11"/>
      <c r="I4" s="12"/>
    </row>
    <row r="5" spans="1:9" ht="12.75">
      <c r="A5" s="13" t="s">
        <v>30</v>
      </c>
      <c r="B5" s="14" t="s">
        <v>31</v>
      </c>
      <c r="C5" s="15">
        <v>20056</v>
      </c>
      <c r="D5" s="16"/>
      <c r="E5" s="15"/>
      <c r="F5" s="16"/>
      <c r="G5" s="15"/>
      <c r="H5" s="16"/>
      <c r="I5" s="17"/>
    </row>
    <row r="6" spans="1:9" ht="12.75">
      <c r="A6" s="13" t="s">
        <v>32</v>
      </c>
      <c r="B6" s="14" t="s">
        <v>33</v>
      </c>
      <c r="C6" s="15">
        <v>3112</v>
      </c>
      <c r="D6" s="16"/>
      <c r="E6" s="15"/>
      <c r="F6" s="16"/>
      <c r="G6" s="15"/>
      <c r="H6" s="16"/>
      <c r="I6" s="17"/>
    </row>
    <row r="7" spans="1:9" ht="12.75">
      <c r="A7" s="13" t="s">
        <v>34</v>
      </c>
      <c r="B7" s="14" t="s">
        <v>35</v>
      </c>
      <c r="C7" s="15">
        <v>443</v>
      </c>
      <c r="D7" s="16"/>
      <c r="E7" s="15"/>
      <c r="F7" s="16"/>
      <c r="G7" s="15"/>
      <c r="H7" s="16"/>
      <c r="I7" s="17"/>
    </row>
    <row r="8" spans="1:9" ht="12.75">
      <c r="A8" s="13" t="s">
        <v>36</v>
      </c>
      <c r="B8" s="14" t="s">
        <v>37</v>
      </c>
      <c r="C8" s="15">
        <v>0</v>
      </c>
      <c r="D8" s="16"/>
      <c r="E8" s="15"/>
      <c r="F8" s="16"/>
      <c r="G8" s="15"/>
      <c r="H8" s="16"/>
      <c r="I8" s="17"/>
    </row>
    <row r="9" spans="1:9" ht="12.75">
      <c r="A9" s="13" t="s">
        <v>38</v>
      </c>
      <c r="B9" s="14" t="s">
        <v>39</v>
      </c>
      <c r="C9" s="15">
        <v>11036</v>
      </c>
      <c r="D9" s="16"/>
      <c r="E9" s="15"/>
      <c r="F9" s="16"/>
      <c r="G9" s="15"/>
      <c r="H9" s="16"/>
      <c r="I9" s="17"/>
    </row>
    <row r="10" spans="1:9" ht="12.75">
      <c r="A10" s="13" t="s">
        <v>40</v>
      </c>
      <c r="B10" s="14" t="s">
        <v>41</v>
      </c>
      <c r="C10" s="15">
        <v>171152</v>
      </c>
      <c r="D10" s="16"/>
      <c r="E10" s="15"/>
      <c r="F10" s="16"/>
      <c r="G10" s="15"/>
      <c r="H10" s="16"/>
      <c r="I10" s="17"/>
    </row>
    <row r="11" spans="1:9" ht="12.75">
      <c r="A11" s="13" t="s">
        <v>42</v>
      </c>
      <c r="B11" s="14" t="s">
        <v>43</v>
      </c>
      <c r="C11" s="15">
        <v>21631</v>
      </c>
      <c r="D11" s="43"/>
      <c r="E11" s="15"/>
      <c r="F11" s="16"/>
      <c r="G11" s="15"/>
      <c r="H11" s="16"/>
      <c r="I11" s="17"/>
    </row>
    <row r="12" spans="1:9" ht="12.75">
      <c r="A12" s="13" t="s">
        <v>44</v>
      </c>
      <c r="B12" s="14" t="s">
        <v>45</v>
      </c>
      <c r="C12" s="15">
        <v>17207</v>
      </c>
      <c r="D12" s="43"/>
      <c r="E12" s="15"/>
      <c r="F12" s="16"/>
      <c r="G12" s="15"/>
      <c r="H12" s="16"/>
      <c r="I12" s="17"/>
    </row>
    <row r="13" spans="1:9" ht="12.75">
      <c r="A13" s="13" t="s">
        <v>46</v>
      </c>
      <c r="B13" s="14" t="s">
        <v>47</v>
      </c>
      <c r="C13" s="15">
        <v>43457</v>
      </c>
      <c r="D13" s="43"/>
      <c r="E13" s="15"/>
      <c r="F13" s="43"/>
      <c r="G13" s="15"/>
      <c r="H13" s="43"/>
      <c r="I13" s="17"/>
    </row>
    <row r="14" spans="1:9" ht="12.75">
      <c r="A14" s="13" t="s">
        <v>49</v>
      </c>
      <c r="B14" s="14" t="s">
        <v>50</v>
      </c>
      <c r="C14" s="15">
        <v>0</v>
      </c>
      <c r="D14" s="43"/>
      <c r="E14" s="15"/>
      <c r="F14" s="16"/>
      <c r="G14" s="15"/>
      <c r="H14" s="16"/>
      <c r="I14" s="17"/>
    </row>
    <row r="15" spans="1:9" ht="12.75">
      <c r="A15" s="13" t="s">
        <v>51</v>
      </c>
      <c r="B15" s="14" t="s">
        <v>52</v>
      </c>
      <c r="C15" s="15">
        <v>1194</v>
      </c>
      <c r="D15" s="43"/>
      <c r="E15" s="15"/>
      <c r="F15" s="16"/>
      <c r="G15" s="15"/>
      <c r="H15" s="16"/>
      <c r="I15" s="17"/>
    </row>
    <row r="16" spans="1:9" ht="12.75">
      <c r="A16" s="13" t="s">
        <v>53</v>
      </c>
      <c r="B16" s="14" t="s">
        <v>54</v>
      </c>
      <c r="C16" s="15">
        <v>1686</v>
      </c>
      <c r="D16" s="43"/>
      <c r="E16" s="15"/>
      <c r="F16" s="43"/>
      <c r="G16" s="15"/>
      <c r="H16" s="43"/>
      <c r="I16" s="17"/>
    </row>
    <row r="17" spans="1:9" ht="12.75">
      <c r="A17" s="13" t="s">
        <v>55</v>
      </c>
      <c r="B17" s="14" t="s">
        <v>56</v>
      </c>
      <c r="C17" s="15">
        <v>12629</v>
      </c>
      <c r="D17" s="16"/>
      <c r="E17" s="15"/>
      <c r="F17" s="16"/>
      <c r="G17" s="15"/>
      <c r="H17" s="16"/>
      <c r="I17" s="17"/>
    </row>
    <row r="18" spans="1:9" ht="12.75">
      <c r="A18" s="13">
        <v>389</v>
      </c>
      <c r="B18" s="14" t="s">
        <v>57</v>
      </c>
      <c r="C18" s="15">
        <v>0</v>
      </c>
      <c r="D18" s="43"/>
      <c r="E18" s="15"/>
      <c r="F18" s="43"/>
      <c r="G18" s="15"/>
      <c r="H18" s="43"/>
      <c r="I18" s="17"/>
    </row>
    <row r="19" spans="1:9" ht="12.75">
      <c r="A19" s="18" t="s">
        <v>58</v>
      </c>
      <c r="B19" s="19" t="s">
        <v>59</v>
      </c>
      <c r="C19" s="20">
        <v>29324</v>
      </c>
      <c r="D19" s="43"/>
      <c r="E19" s="20"/>
      <c r="F19" s="43"/>
      <c r="G19" s="20"/>
      <c r="H19" s="43"/>
      <c r="I19" s="21"/>
    </row>
    <row r="20" spans="1:9" ht="12.75">
      <c r="A20" s="22" t="s">
        <v>60</v>
      </c>
      <c r="B20" s="23" t="s">
        <v>61</v>
      </c>
      <c r="C20" s="24">
        <v>296867</v>
      </c>
      <c r="D20" s="25"/>
      <c r="E20" s="24"/>
      <c r="F20" s="25"/>
      <c r="G20" s="24"/>
      <c r="H20" s="25"/>
      <c r="I20" s="26"/>
    </row>
    <row r="21" spans="1:9" ht="12.75">
      <c r="A21" s="27" t="s">
        <v>62</v>
      </c>
      <c r="B21" s="28" t="s">
        <v>63</v>
      </c>
      <c r="C21" s="10">
        <v>70690</v>
      </c>
      <c r="D21" s="16"/>
      <c r="E21" s="10"/>
      <c r="F21" s="16"/>
      <c r="G21" s="10"/>
      <c r="H21" s="16"/>
      <c r="I21" s="12"/>
    </row>
    <row r="22" spans="1:9" ht="12.75">
      <c r="A22" s="8" t="s">
        <v>64</v>
      </c>
      <c r="B22" s="29" t="s">
        <v>65</v>
      </c>
      <c r="C22" s="15">
        <v>10164</v>
      </c>
      <c r="D22" s="16"/>
      <c r="E22" s="15"/>
      <c r="F22" s="16"/>
      <c r="G22" s="15"/>
      <c r="H22" s="16"/>
      <c r="I22" s="17"/>
    </row>
    <row r="23" spans="1:9" ht="12.75">
      <c r="A23" s="8" t="s">
        <v>66</v>
      </c>
      <c r="B23" s="29" t="s">
        <v>67</v>
      </c>
      <c r="C23" s="15">
        <v>19003</v>
      </c>
      <c r="D23" s="16"/>
      <c r="E23" s="15"/>
      <c r="F23" s="16"/>
      <c r="G23" s="15"/>
      <c r="H23" s="16"/>
      <c r="I23" s="17"/>
    </row>
    <row r="24" spans="1:9" ht="12.75">
      <c r="A24" s="8" t="s">
        <v>68</v>
      </c>
      <c r="B24" s="29" t="s">
        <v>69</v>
      </c>
      <c r="C24" s="15">
        <v>32818</v>
      </c>
      <c r="D24" s="16"/>
      <c r="E24" s="15"/>
      <c r="F24" s="16"/>
      <c r="G24" s="15"/>
      <c r="H24" s="16"/>
      <c r="I24" s="17"/>
    </row>
    <row r="25" spans="1:9" ht="12.75">
      <c r="A25" s="8" t="s">
        <v>70</v>
      </c>
      <c r="B25" s="29" t="s">
        <v>71</v>
      </c>
      <c r="C25" s="15">
        <v>129969</v>
      </c>
      <c r="D25" s="16"/>
      <c r="E25" s="15"/>
      <c r="F25" s="16"/>
      <c r="G25" s="15"/>
      <c r="H25" s="16"/>
      <c r="I25" s="17"/>
    </row>
    <row r="26" spans="1:9" ht="12.75">
      <c r="A26" s="59" t="s">
        <v>72</v>
      </c>
      <c r="B26" s="29" t="s">
        <v>73</v>
      </c>
      <c r="C26" s="15">
        <v>3612</v>
      </c>
      <c r="D26" s="16"/>
      <c r="E26" s="15"/>
      <c r="F26" s="16"/>
      <c r="G26" s="15"/>
      <c r="H26" s="16"/>
      <c r="I26" s="17"/>
    </row>
    <row r="27" spans="1:9" ht="12.75">
      <c r="A27" s="195">
        <v>489</v>
      </c>
      <c r="B27" s="29" t="s">
        <v>74</v>
      </c>
      <c r="C27" s="15">
        <v>0</v>
      </c>
      <c r="D27" s="16"/>
      <c r="E27" s="15"/>
      <c r="F27" s="16"/>
      <c r="G27" s="15"/>
      <c r="H27" s="16"/>
      <c r="I27" s="17"/>
    </row>
    <row r="28" spans="1:9" ht="12.75">
      <c r="A28" s="30" t="s">
        <v>75</v>
      </c>
      <c r="B28" s="31" t="s">
        <v>76</v>
      </c>
      <c r="C28" s="20">
        <v>29324</v>
      </c>
      <c r="D28" s="16"/>
      <c r="E28" s="20"/>
      <c r="F28" s="16"/>
      <c r="G28" s="20"/>
      <c r="H28" s="16"/>
      <c r="I28" s="21"/>
    </row>
    <row r="29" spans="1:9" ht="12.75">
      <c r="A29" s="51" t="s">
        <v>77</v>
      </c>
      <c r="B29" s="52" t="s">
        <v>78</v>
      </c>
      <c r="C29" s="24">
        <v>295580</v>
      </c>
      <c r="D29" s="53"/>
      <c r="E29" s="24"/>
      <c r="F29" s="53"/>
      <c r="G29" s="24"/>
      <c r="H29" s="54"/>
      <c r="I29" s="26"/>
    </row>
    <row r="30" spans="1:9" ht="12.75">
      <c r="A30" s="50" t="s">
        <v>79</v>
      </c>
      <c r="B30" s="32" t="s">
        <v>80</v>
      </c>
      <c r="C30" s="33">
        <v>-1287</v>
      </c>
      <c r="D30" s="136"/>
      <c r="E30" s="33"/>
      <c r="F30" s="136"/>
      <c r="G30" s="34"/>
      <c r="H30" s="137"/>
      <c r="I30" s="35"/>
    </row>
    <row r="31" spans="1:9" ht="12.75">
      <c r="A31" s="140">
        <v>0</v>
      </c>
      <c r="B31" s="28" t="s">
        <v>81</v>
      </c>
      <c r="C31" s="138">
        <v>0</v>
      </c>
      <c r="D31" s="143"/>
      <c r="E31" s="138"/>
      <c r="F31" s="143"/>
      <c r="G31" s="138"/>
      <c r="H31" s="138"/>
      <c r="I31" s="139"/>
    </row>
    <row r="32" spans="1:9" ht="12.75">
      <c r="A32" s="59" t="s">
        <v>82</v>
      </c>
      <c r="B32" s="29" t="s">
        <v>83</v>
      </c>
      <c r="C32" s="15">
        <v>68635</v>
      </c>
      <c r="D32" s="16"/>
      <c r="E32" s="15"/>
      <c r="F32" s="16"/>
      <c r="G32" s="15"/>
      <c r="H32" s="16"/>
      <c r="I32" s="17"/>
    </row>
    <row r="33" spans="1:9" ht="12.75">
      <c r="A33" s="59" t="s">
        <v>84</v>
      </c>
      <c r="B33" s="29" t="s">
        <v>85</v>
      </c>
      <c r="C33" s="15">
        <v>109</v>
      </c>
      <c r="D33" s="16"/>
      <c r="E33" s="15"/>
      <c r="F33" s="16"/>
      <c r="G33" s="15"/>
      <c r="H33" s="16"/>
      <c r="I33" s="17"/>
    </row>
    <row r="34" spans="1:9" ht="12.75">
      <c r="A34" s="8" t="s">
        <v>86</v>
      </c>
      <c r="B34" s="29" t="s">
        <v>87</v>
      </c>
      <c r="C34" s="15">
        <v>24472</v>
      </c>
      <c r="D34" s="16"/>
      <c r="E34" s="15"/>
      <c r="F34" s="16"/>
      <c r="G34" s="15"/>
      <c r="H34" s="16"/>
      <c r="I34" s="17"/>
    </row>
    <row r="35" spans="1:9" ht="12.75">
      <c r="A35" s="51" t="s">
        <v>88</v>
      </c>
      <c r="B35" s="52" t="s">
        <v>89</v>
      </c>
      <c r="C35" s="24">
        <v>93216</v>
      </c>
      <c r="D35" s="54"/>
      <c r="E35" s="24"/>
      <c r="F35" s="54"/>
      <c r="G35" s="24"/>
      <c r="H35" s="54"/>
      <c r="I35" s="26"/>
    </row>
    <row r="36" spans="1:9" ht="12.75">
      <c r="A36" s="8" t="s">
        <v>90</v>
      </c>
      <c r="B36" s="29" t="s">
        <v>91</v>
      </c>
      <c r="C36" s="15">
        <v>0</v>
      </c>
      <c r="D36" s="16"/>
      <c r="E36" s="15"/>
      <c r="F36" s="16"/>
      <c r="G36" s="15"/>
      <c r="H36" s="16"/>
      <c r="I36" s="17"/>
    </row>
    <row r="37" spans="1:9" ht="12.75">
      <c r="A37" s="8" t="s">
        <v>92</v>
      </c>
      <c r="B37" s="29" t="s">
        <v>93</v>
      </c>
      <c r="C37" s="15">
        <v>71424</v>
      </c>
      <c r="D37" s="16"/>
      <c r="E37" s="15"/>
      <c r="F37" s="16"/>
      <c r="G37" s="15"/>
      <c r="H37" s="16"/>
      <c r="I37" s="17"/>
    </row>
    <row r="38" spans="1:9" ht="12.75">
      <c r="A38" s="51" t="s">
        <v>94</v>
      </c>
      <c r="B38" s="52" t="s">
        <v>95</v>
      </c>
      <c r="C38" s="24">
        <v>71424</v>
      </c>
      <c r="D38" s="54"/>
      <c r="E38" s="24"/>
      <c r="F38" s="54"/>
      <c r="G38" s="24"/>
      <c r="H38" s="54"/>
      <c r="I38" s="26"/>
    </row>
    <row r="39" spans="1:9" ht="12.75">
      <c r="A39" s="36" t="s">
        <v>96</v>
      </c>
      <c r="B39" s="37" t="s">
        <v>3</v>
      </c>
      <c r="C39" s="38">
        <v>21792</v>
      </c>
      <c r="D39" s="39"/>
      <c r="E39" s="38"/>
      <c r="F39" s="39"/>
      <c r="G39" s="38"/>
      <c r="H39" s="39"/>
      <c r="I39" s="40"/>
    </row>
    <row r="40" spans="1:9" ht="12.75">
      <c r="A40" s="131" t="s">
        <v>0</v>
      </c>
      <c r="B40" s="29" t="s">
        <v>97</v>
      </c>
      <c r="C40" s="15">
        <v>9749</v>
      </c>
      <c r="D40" s="16"/>
      <c r="E40" s="15"/>
      <c r="F40" s="16"/>
      <c r="G40" s="15"/>
      <c r="H40" s="16"/>
      <c r="I40" s="17"/>
    </row>
    <row r="41" spans="1:9" ht="12.75">
      <c r="A41" s="131" t="s">
        <v>0</v>
      </c>
      <c r="B41" s="29" t="s">
        <v>98</v>
      </c>
      <c r="C41" s="15">
        <v>-12043</v>
      </c>
      <c r="D41" s="16"/>
      <c r="E41" s="15"/>
      <c r="F41" s="16"/>
      <c r="G41" s="15"/>
      <c r="H41" s="16"/>
      <c r="I41" s="17"/>
    </row>
    <row r="42" spans="1:9" ht="12.75">
      <c r="A42" s="141" t="s">
        <v>0</v>
      </c>
      <c r="B42" s="31" t="s">
        <v>99</v>
      </c>
      <c r="C42" s="20">
        <v>337094</v>
      </c>
      <c r="D42" s="129"/>
      <c r="E42" s="20"/>
      <c r="F42" s="129"/>
      <c r="G42" s="20"/>
      <c r="H42" s="129"/>
      <c r="I42" s="21"/>
    </row>
    <row r="43" spans="1:9" ht="12.75">
      <c r="A43" s="141">
        <v>0</v>
      </c>
      <c r="B43" s="31" t="s">
        <v>5</v>
      </c>
      <c r="C43" s="66">
        <v>0.4473660058737151</v>
      </c>
      <c r="D43" s="142"/>
      <c r="E43" s="41"/>
      <c r="F43" s="142"/>
      <c r="G43" s="41"/>
      <c r="H43" s="142"/>
      <c r="I43" s="4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&amp;LFachgruppe für kantonale Finanzfragen (FkF)
Groupe d'étude pour les finances cantonales&amp;CRechnung 2011 - Budget 2013
Compte 2011 - Budget 2013&amp;RZürich, 12.9.2013</oddHeader>
    <oddFooter>&amp;LQuelle/Source: FkF Sept.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86"/>
  <sheetViews>
    <sheetView zoomScale="115" zoomScaleNormal="115" zoomScalePageLayoutView="0" workbookViewId="0" topLeftCell="A1">
      <selection activeCell="A1" sqref="A1:G186"/>
    </sheetView>
  </sheetViews>
  <sheetFormatPr defaultColWidth="11.421875" defaultRowHeight="12.75"/>
  <cols>
    <col min="1" max="1" width="16.7109375" style="252" customWidth="1"/>
    <col min="2" max="2" width="3.7109375" style="252" customWidth="1"/>
    <col min="3" max="3" width="39.7109375" style="252" customWidth="1"/>
    <col min="4" max="4" width="12.7109375" style="252" customWidth="1"/>
    <col min="5" max="5" width="11.421875" style="252" customWidth="1"/>
    <col min="6" max="6" width="10.140625" style="252" customWidth="1"/>
    <col min="7" max="16384" width="11.421875" style="252" customWidth="1"/>
  </cols>
  <sheetData>
    <row r="1" spans="1:55" s="243" customFormat="1" ht="18" customHeight="1">
      <c r="A1" s="237" t="s">
        <v>220</v>
      </c>
      <c r="B1" s="532" t="s">
        <v>454</v>
      </c>
      <c r="C1" s="532" t="s">
        <v>108</v>
      </c>
      <c r="D1" s="241" t="s">
        <v>22</v>
      </c>
      <c r="E1" s="240" t="s">
        <v>105</v>
      </c>
      <c r="F1" s="241" t="s">
        <v>22</v>
      </c>
      <c r="G1" s="240" t="s">
        <v>105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7" s="249" customFormat="1" ht="15" customHeight="1">
      <c r="A2" s="244"/>
      <c r="B2" s="245"/>
      <c r="C2" s="246" t="s">
        <v>222</v>
      </c>
      <c r="D2" s="248">
        <v>2011</v>
      </c>
      <c r="E2" s="247">
        <v>2012</v>
      </c>
      <c r="F2" s="248">
        <v>2012</v>
      </c>
      <c r="G2" s="247">
        <v>2013</v>
      </c>
    </row>
    <row r="3" spans="1:7" ht="15" customHeight="1">
      <c r="A3" s="609" t="s">
        <v>223</v>
      </c>
      <c r="B3" s="610"/>
      <c r="C3" s="610"/>
      <c r="D3" s="250"/>
      <c r="F3" s="250"/>
      <c r="G3" s="253" t="s">
        <v>103</v>
      </c>
    </row>
    <row r="4" spans="1:7" s="260" customFormat="1" ht="12.75" customHeight="1">
      <c r="A4" s="479">
        <v>30</v>
      </c>
      <c r="B4" s="480"/>
      <c r="C4" s="256" t="s">
        <v>29</v>
      </c>
      <c r="D4" s="257"/>
      <c r="E4" s="257">
        <v>54007</v>
      </c>
      <c r="F4" s="258">
        <v>52737</v>
      </c>
      <c r="G4" s="259">
        <v>54248</v>
      </c>
    </row>
    <row r="5" spans="1:7" s="260" customFormat="1" ht="12.75" customHeight="1">
      <c r="A5" s="261">
        <v>31</v>
      </c>
      <c r="B5" s="262"/>
      <c r="C5" s="263" t="s">
        <v>224</v>
      </c>
      <c r="D5" s="264"/>
      <c r="E5" s="264">
        <v>25908</v>
      </c>
      <c r="F5" s="266">
        <v>26066</v>
      </c>
      <c r="G5" s="267">
        <v>25921</v>
      </c>
    </row>
    <row r="6" spans="1:7" s="260" customFormat="1" ht="12.75" customHeight="1">
      <c r="A6" s="268" t="s">
        <v>32</v>
      </c>
      <c r="B6" s="269"/>
      <c r="C6" s="270" t="s">
        <v>225</v>
      </c>
      <c r="D6" s="271"/>
      <c r="E6" s="271">
        <v>2973</v>
      </c>
      <c r="F6" s="272">
        <v>3567</v>
      </c>
      <c r="G6" s="273">
        <v>3313</v>
      </c>
    </row>
    <row r="7" spans="1:7" s="260" customFormat="1" ht="12.75" customHeight="1">
      <c r="A7" s="268" t="s">
        <v>226</v>
      </c>
      <c r="B7" s="269"/>
      <c r="C7" s="270" t="s">
        <v>227</v>
      </c>
      <c r="D7" s="271"/>
      <c r="E7" s="271">
        <v>0</v>
      </c>
      <c r="F7" s="272">
        <v>0</v>
      </c>
      <c r="G7" s="273">
        <v>0</v>
      </c>
    </row>
    <row r="8" spans="1:7" s="260" customFormat="1" ht="12.75" customHeight="1">
      <c r="A8" s="274">
        <v>330</v>
      </c>
      <c r="B8" s="262"/>
      <c r="C8" s="263" t="s">
        <v>228</v>
      </c>
      <c r="D8" s="275"/>
      <c r="E8" s="275">
        <v>12234</v>
      </c>
      <c r="F8" s="266">
        <v>7041</v>
      </c>
      <c r="G8" s="276">
        <v>14330</v>
      </c>
    </row>
    <row r="9" spans="1:7" s="260" customFormat="1" ht="12.75" customHeight="1">
      <c r="A9" s="274">
        <v>332</v>
      </c>
      <c r="B9" s="262"/>
      <c r="C9" s="263" t="s">
        <v>229</v>
      </c>
      <c r="D9" s="275"/>
      <c r="E9" s="275">
        <v>0</v>
      </c>
      <c r="F9" s="266">
        <v>629</v>
      </c>
      <c r="G9" s="276">
        <v>0</v>
      </c>
    </row>
    <row r="10" spans="1:7" s="260" customFormat="1" ht="12.75" customHeight="1">
      <c r="A10" s="274">
        <v>339</v>
      </c>
      <c r="B10" s="262"/>
      <c r="C10" s="263" t="s">
        <v>230</v>
      </c>
      <c r="D10" s="275">
        <v>0</v>
      </c>
      <c r="E10" s="275">
        <v>0</v>
      </c>
      <c r="F10" s="266">
        <v>0</v>
      </c>
      <c r="G10" s="276">
        <v>0</v>
      </c>
    </row>
    <row r="11" spans="1:7" s="260" customFormat="1" ht="12.75" customHeight="1">
      <c r="A11" s="261">
        <v>350</v>
      </c>
      <c r="B11" s="262"/>
      <c r="C11" s="263" t="s">
        <v>231</v>
      </c>
      <c r="D11" s="275">
        <v>0</v>
      </c>
      <c r="E11" s="275">
        <v>101</v>
      </c>
      <c r="F11" s="275">
        <v>418</v>
      </c>
      <c r="G11" s="277">
        <v>1</v>
      </c>
    </row>
    <row r="12" spans="1:7" s="285" customFormat="1" ht="12.75">
      <c r="A12" s="278">
        <v>351</v>
      </c>
      <c r="B12" s="279"/>
      <c r="C12" s="280" t="s">
        <v>232</v>
      </c>
      <c r="D12" s="282"/>
      <c r="E12" s="282">
        <v>10</v>
      </c>
      <c r="F12" s="283"/>
      <c r="G12" s="482">
        <v>50</v>
      </c>
    </row>
    <row r="13" spans="1:7" s="260" customFormat="1" ht="12.75" customHeight="1">
      <c r="A13" s="261">
        <v>36</v>
      </c>
      <c r="B13" s="262"/>
      <c r="C13" s="263" t="s">
        <v>233</v>
      </c>
      <c r="D13" s="271"/>
      <c r="E13" s="323">
        <v>130619</v>
      </c>
      <c r="F13" s="286">
        <v>133887</v>
      </c>
      <c r="G13" s="276">
        <v>135479</v>
      </c>
    </row>
    <row r="14" spans="1:7" s="260" customFormat="1" ht="12.75" customHeight="1">
      <c r="A14" s="287" t="s">
        <v>234</v>
      </c>
      <c r="B14" s="262"/>
      <c r="C14" s="288" t="s">
        <v>235</v>
      </c>
      <c r="D14" s="271"/>
      <c r="E14" s="323">
        <v>37031</v>
      </c>
      <c r="F14" s="286">
        <v>33271</v>
      </c>
      <c r="G14" s="276">
        <v>341753</v>
      </c>
    </row>
    <row r="15" spans="1:7" s="260" customFormat="1" ht="12.75" customHeight="1">
      <c r="A15" s="287" t="s">
        <v>236</v>
      </c>
      <c r="B15" s="262"/>
      <c r="C15" s="288" t="s">
        <v>237</v>
      </c>
      <c r="D15" s="271"/>
      <c r="E15" s="323">
        <v>16925</v>
      </c>
      <c r="F15" s="286">
        <v>20048</v>
      </c>
      <c r="G15" s="276">
        <v>19105</v>
      </c>
    </row>
    <row r="16" spans="1:7" s="297" customFormat="1" ht="26.25" customHeight="1">
      <c r="A16" s="287" t="s">
        <v>238</v>
      </c>
      <c r="B16" s="483"/>
      <c r="C16" s="288" t="s">
        <v>239</v>
      </c>
      <c r="D16" s="293"/>
      <c r="E16" s="294">
        <v>0</v>
      </c>
      <c r="F16" s="295">
        <v>5472</v>
      </c>
      <c r="G16" s="296">
        <v>0</v>
      </c>
    </row>
    <row r="17" spans="1:7" s="299" customFormat="1" ht="12.75">
      <c r="A17" s="261">
        <v>37</v>
      </c>
      <c r="B17" s="262"/>
      <c r="C17" s="263" t="s">
        <v>240</v>
      </c>
      <c r="D17" s="316"/>
      <c r="E17" s="264">
        <v>36950</v>
      </c>
      <c r="F17" s="286">
        <v>38376</v>
      </c>
      <c r="G17" s="298">
        <v>38295</v>
      </c>
    </row>
    <row r="18" spans="1:7" s="299" customFormat="1" ht="12.75">
      <c r="A18" s="322" t="s">
        <v>241</v>
      </c>
      <c r="B18" s="269"/>
      <c r="C18" s="270" t="s">
        <v>242</v>
      </c>
      <c r="D18" s="485"/>
      <c r="E18" s="323">
        <v>1073</v>
      </c>
      <c r="F18" s="286">
        <v>788</v>
      </c>
      <c r="G18" s="298">
        <v>722</v>
      </c>
    </row>
    <row r="19" spans="1:7" s="299" customFormat="1" ht="12.75">
      <c r="A19" s="322" t="s">
        <v>243</v>
      </c>
      <c r="B19" s="269"/>
      <c r="C19" s="270" t="s">
        <v>244</v>
      </c>
      <c r="D19" s="485"/>
      <c r="E19" s="323">
        <v>286</v>
      </c>
      <c r="F19" s="286">
        <v>1003</v>
      </c>
      <c r="G19" s="298">
        <v>1277</v>
      </c>
    </row>
    <row r="20" spans="1:7" s="260" customFormat="1" ht="12.75" customHeight="1">
      <c r="A20" s="301">
        <v>39</v>
      </c>
      <c r="B20" s="302"/>
      <c r="C20" s="303" t="s">
        <v>245</v>
      </c>
      <c r="D20" s="306"/>
      <c r="E20" s="304">
        <v>31288</v>
      </c>
      <c r="F20" s="307">
        <v>22559</v>
      </c>
      <c r="G20" s="308">
        <v>22942</v>
      </c>
    </row>
    <row r="21" spans="1:7" ht="12.75" customHeight="1">
      <c r="A21" s="309"/>
      <c r="B21" s="309"/>
      <c r="C21" s="310" t="s">
        <v>246</v>
      </c>
      <c r="D21" s="311">
        <f>D4+D5+SUM(D8:D13)+D17</f>
        <v>0</v>
      </c>
      <c r="E21" s="311">
        <f>E4+E5+SUM(E8:E13)+E17</f>
        <v>259829</v>
      </c>
      <c r="F21" s="311">
        <f>F4+F5+SUM(F8:F13)+F17</f>
        <v>259154</v>
      </c>
      <c r="G21" s="311">
        <f>G4+G5+SUM(G8:G13)+G17</f>
        <v>268324</v>
      </c>
    </row>
    <row r="22" spans="1:7" s="260" customFormat="1" ht="12.75" customHeight="1">
      <c r="A22" s="274" t="s">
        <v>247</v>
      </c>
      <c r="B22" s="262"/>
      <c r="C22" s="263" t="s">
        <v>248</v>
      </c>
      <c r="D22" s="275"/>
      <c r="E22" s="275">
        <v>69210</v>
      </c>
      <c r="F22" s="266">
        <v>68369</v>
      </c>
      <c r="G22" s="276">
        <v>70400</v>
      </c>
    </row>
    <row r="23" spans="1:7" s="260" customFormat="1" ht="12.75" customHeight="1">
      <c r="A23" s="274" t="s">
        <v>249</v>
      </c>
      <c r="B23" s="262"/>
      <c r="C23" s="263" t="s">
        <v>250</v>
      </c>
      <c r="D23" s="275"/>
      <c r="E23" s="275">
        <v>14640</v>
      </c>
      <c r="F23" s="266">
        <v>15026</v>
      </c>
      <c r="G23" s="276">
        <v>15305</v>
      </c>
    </row>
    <row r="24" spans="1:7" s="313" customFormat="1" ht="12.75" customHeight="1">
      <c r="A24" s="261">
        <v>41</v>
      </c>
      <c r="B24" s="262"/>
      <c r="C24" s="263" t="s">
        <v>251</v>
      </c>
      <c r="D24" s="275"/>
      <c r="E24" s="275">
        <v>4307</v>
      </c>
      <c r="F24" s="266">
        <v>7416</v>
      </c>
      <c r="G24" s="276">
        <v>7324</v>
      </c>
    </row>
    <row r="25" spans="1:7" s="260" customFormat="1" ht="12.75" customHeight="1">
      <c r="A25" s="314">
        <v>42</v>
      </c>
      <c r="B25" s="315"/>
      <c r="C25" s="263" t="s">
        <v>252</v>
      </c>
      <c r="D25" s="275"/>
      <c r="E25" s="275">
        <v>17478</v>
      </c>
      <c r="F25" s="266">
        <v>17121</v>
      </c>
      <c r="G25" s="276">
        <v>17163</v>
      </c>
    </row>
    <row r="26" spans="1:7" s="318" customFormat="1" ht="12.75" customHeight="1">
      <c r="A26" s="278">
        <v>430</v>
      </c>
      <c r="B26" s="262"/>
      <c r="C26" s="263" t="s">
        <v>253</v>
      </c>
      <c r="D26" s="316"/>
      <c r="E26" s="316">
        <v>1138</v>
      </c>
      <c r="F26" s="317">
        <v>1130</v>
      </c>
      <c r="G26" s="298">
        <v>1377</v>
      </c>
    </row>
    <row r="27" spans="1:7" s="318" customFormat="1" ht="12.75" customHeight="1">
      <c r="A27" s="278">
        <v>431</v>
      </c>
      <c r="B27" s="262"/>
      <c r="C27" s="263" t="s">
        <v>254</v>
      </c>
      <c r="D27" s="316"/>
      <c r="E27" s="316">
        <v>1095</v>
      </c>
      <c r="F27" s="317">
        <v>1161</v>
      </c>
      <c r="G27" s="298">
        <v>1175</v>
      </c>
    </row>
    <row r="28" spans="1:7" s="318" customFormat="1" ht="12.75" customHeight="1">
      <c r="A28" s="278">
        <v>432</v>
      </c>
      <c r="B28" s="262"/>
      <c r="C28" s="263" t="s">
        <v>255</v>
      </c>
      <c r="D28" s="316"/>
      <c r="E28" s="316">
        <v>0</v>
      </c>
      <c r="F28" s="317">
        <v>0</v>
      </c>
      <c r="G28" s="298">
        <v>0</v>
      </c>
    </row>
    <row r="29" spans="1:7" s="318" customFormat="1" ht="12.75" customHeight="1">
      <c r="A29" s="278">
        <v>439</v>
      </c>
      <c r="B29" s="262"/>
      <c r="C29" s="263" t="s">
        <v>256</v>
      </c>
      <c r="D29" s="316"/>
      <c r="E29" s="316">
        <v>994</v>
      </c>
      <c r="F29" s="317">
        <v>1377</v>
      </c>
      <c r="G29" s="298">
        <v>1067</v>
      </c>
    </row>
    <row r="30" spans="1:7" s="260" customFormat="1" ht="25.5">
      <c r="A30" s="278">
        <v>450</v>
      </c>
      <c r="B30" s="279"/>
      <c r="C30" s="280" t="s">
        <v>257</v>
      </c>
      <c r="D30" s="264">
        <v>0</v>
      </c>
      <c r="E30" s="264">
        <v>603</v>
      </c>
      <c r="F30" s="264">
        <v>556</v>
      </c>
      <c r="G30" s="319">
        <v>380</v>
      </c>
    </row>
    <row r="31" spans="1:7" s="285" customFormat="1" ht="25.5">
      <c r="A31" s="278">
        <v>451</v>
      </c>
      <c r="B31" s="279"/>
      <c r="C31" s="280" t="s">
        <v>258</v>
      </c>
      <c r="D31" s="281"/>
      <c r="E31" s="281">
        <v>40</v>
      </c>
      <c r="F31" s="320">
        <v>61</v>
      </c>
      <c r="G31" s="276">
        <v>40</v>
      </c>
    </row>
    <row r="32" spans="1:7" s="260" customFormat="1" ht="12.75" customHeight="1">
      <c r="A32" s="261">
        <v>46</v>
      </c>
      <c r="B32" s="262"/>
      <c r="C32" s="263" t="s">
        <v>259</v>
      </c>
      <c r="D32" s="275"/>
      <c r="E32" s="275">
        <v>83508</v>
      </c>
      <c r="F32" s="266">
        <v>84371</v>
      </c>
      <c r="G32" s="276">
        <v>86423</v>
      </c>
    </row>
    <row r="33" spans="1:7" s="285" customFormat="1" ht="12.75" customHeight="1">
      <c r="A33" s="322" t="s">
        <v>260</v>
      </c>
      <c r="B33" s="269"/>
      <c r="C33" s="270" t="s">
        <v>261</v>
      </c>
      <c r="D33" s="271"/>
      <c r="E33" s="275"/>
      <c r="F33" s="266"/>
      <c r="G33" s="273"/>
    </row>
    <row r="34" spans="1:7" s="260" customFormat="1" ht="15" customHeight="1">
      <c r="A34" s="261">
        <v>47</v>
      </c>
      <c r="B34" s="262"/>
      <c r="C34" s="263" t="s">
        <v>240</v>
      </c>
      <c r="D34" s="275"/>
      <c r="E34" s="275">
        <v>36950</v>
      </c>
      <c r="F34" s="266">
        <v>38376</v>
      </c>
      <c r="G34" s="276">
        <v>38295</v>
      </c>
    </row>
    <row r="35" spans="1:7" s="260" customFormat="1" ht="15" customHeight="1">
      <c r="A35" s="301">
        <v>49</v>
      </c>
      <c r="B35" s="302"/>
      <c r="C35" s="303" t="s">
        <v>262</v>
      </c>
      <c r="D35" s="306"/>
      <c r="E35" s="304">
        <v>31288</v>
      </c>
      <c r="F35" s="307">
        <v>22559</v>
      </c>
      <c r="G35" s="486">
        <v>22942</v>
      </c>
    </row>
    <row r="36" spans="1:7" ht="13.5" customHeight="1">
      <c r="A36" s="309"/>
      <c r="B36" s="335"/>
      <c r="C36" s="310" t="s">
        <v>263</v>
      </c>
      <c r="D36" s="311">
        <f>D22+D23+D24+D25+D26+D27+D28+D29+D30+D31+D32+D34</f>
        <v>0</v>
      </c>
      <c r="E36" s="311">
        <f>E22+E23+E24+E25+E26+E27+E28+E29+E30+E31+E32+E34</f>
        <v>229963</v>
      </c>
      <c r="F36" s="311">
        <f>F22+F23+F24+F25+F26+F27+F28+F29+F30+F31+F32+F34</f>
        <v>234964</v>
      </c>
      <c r="G36" s="311">
        <f>G22+G23+G24+G25+G26+G27+G28+G29+G30+G31+G32+G34</f>
        <v>238949</v>
      </c>
    </row>
    <row r="37" spans="1:7" s="487" customFormat="1" ht="15" customHeight="1">
      <c r="A37" s="309"/>
      <c r="B37" s="335"/>
      <c r="C37" s="310" t="s">
        <v>264</v>
      </c>
      <c r="D37" s="311">
        <f>D36-D21</f>
        <v>0</v>
      </c>
      <c r="E37" s="311">
        <f>E36-E21</f>
        <v>-29866</v>
      </c>
      <c r="F37" s="311">
        <f>F36-F21</f>
        <v>-24190</v>
      </c>
      <c r="G37" s="311">
        <f>G36-G21</f>
        <v>-29375</v>
      </c>
    </row>
    <row r="38" spans="1:7" s="285" customFormat="1" ht="15" customHeight="1">
      <c r="A38" s="274">
        <v>340</v>
      </c>
      <c r="B38" s="262"/>
      <c r="C38" s="263" t="s">
        <v>265</v>
      </c>
      <c r="D38" s="275"/>
      <c r="E38" s="264">
        <v>462</v>
      </c>
      <c r="F38" s="286">
        <v>536</v>
      </c>
      <c r="G38" s="276">
        <v>368</v>
      </c>
    </row>
    <row r="39" spans="1:7" s="285" customFormat="1" ht="15" customHeight="1">
      <c r="A39" s="274">
        <v>341</v>
      </c>
      <c r="B39" s="262"/>
      <c r="C39" s="263" t="s">
        <v>266</v>
      </c>
      <c r="D39" s="275"/>
      <c r="E39" s="275">
        <v>0</v>
      </c>
      <c r="F39" s="266">
        <v>0</v>
      </c>
      <c r="G39" s="276">
        <v>0</v>
      </c>
    </row>
    <row r="40" spans="1:7" s="285" customFormat="1" ht="15" customHeight="1">
      <c r="A40" s="274">
        <v>342</v>
      </c>
      <c r="B40" s="262"/>
      <c r="C40" s="263" t="s">
        <v>267</v>
      </c>
      <c r="D40" s="275"/>
      <c r="E40" s="275">
        <v>0</v>
      </c>
      <c r="F40" s="266">
        <v>0</v>
      </c>
      <c r="G40" s="276">
        <v>0</v>
      </c>
    </row>
    <row r="41" spans="1:7" s="285" customFormat="1" ht="15" customHeight="1">
      <c r="A41" s="274">
        <v>343</v>
      </c>
      <c r="B41" s="262"/>
      <c r="C41" s="263" t="s">
        <v>268</v>
      </c>
      <c r="D41" s="275"/>
      <c r="E41" s="275">
        <v>0</v>
      </c>
      <c r="F41" s="266">
        <v>0</v>
      </c>
      <c r="G41" s="276">
        <v>0</v>
      </c>
    </row>
    <row r="42" spans="1:7" s="285" customFormat="1" ht="15" customHeight="1">
      <c r="A42" s="274">
        <v>344</v>
      </c>
      <c r="B42" s="262"/>
      <c r="C42" s="263" t="s">
        <v>269</v>
      </c>
      <c r="D42" s="275"/>
      <c r="E42" s="275">
        <v>0</v>
      </c>
      <c r="F42" s="266">
        <v>0</v>
      </c>
      <c r="G42" s="276">
        <v>0</v>
      </c>
    </row>
    <row r="43" spans="1:7" s="285" customFormat="1" ht="15" customHeight="1">
      <c r="A43" s="274">
        <v>349</v>
      </c>
      <c r="B43" s="262"/>
      <c r="C43" s="263" t="s">
        <v>270</v>
      </c>
      <c r="D43" s="275"/>
      <c r="E43" s="275">
        <v>0</v>
      </c>
      <c r="F43" s="266">
        <v>0</v>
      </c>
      <c r="G43" s="276">
        <v>0</v>
      </c>
    </row>
    <row r="44" spans="1:7" s="260" customFormat="1" ht="15" customHeight="1">
      <c r="A44" s="261">
        <v>440</v>
      </c>
      <c r="B44" s="262"/>
      <c r="C44" s="263" t="s">
        <v>271</v>
      </c>
      <c r="D44" s="275"/>
      <c r="E44" s="264">
        <v>2388</v>
      </c>
      <c r="F44" s="286">
        <v>2552</v>
      </c>
      <c r="G44" s="276">
        <v>1942</v>
      </c>
    </row>
    <row r="45" spans="1:7" s="260" customFormat="1" ht="15" customHeight="1">
      <c r="A45" s="261">
        <v>441</v>
      </c>
      <c r="B45" s="262"/>
      <c r="C45" s="263" t="s">
        <v>272</v>
      </c>
      <c r="D45" s="275"/>
      <c r="E45" s="264">
        <v>0</v>
      </c>
      <c r="F45" s="286">
        <v>0</v>
      </c>
      <c r="G45" s="276">
        <v>0</v>
      </c>
    </row>
    <row r="46" spans="1:7" s="260" customFormat="1" ht="15" customHeight="1">
      <c r="A46" s="261">
        <v>442</v>
      </c>
      <c r="B46" s="262"/>
      <c r="C46" s="263" t="s">
        <v>273</v>
      </c>
      <c r="D46" s="275"/>
      <c r="E46" s="264">
        <v>0</v>
      </c>
      <c r="F46" s="286">
        <v>0</v>
      </c>
      <c r="G46" s="276">
        <v>0</v>
      </c>
    </row>
    <row r="47" spans="1:7" s="260" customFormat="1" ht="15" customHeight="1">
      <c r="A47" s="261">
        <v>443</v>
      </c>
      <c r="B47" s="262"/>
      <c r="C47" s="263" t="s">
        <v>274</v>
      </c>
      <c r="D47" s="275"/>
      <c r="E47" s="264">
        <v>0</v>
      </c>
      <c r="F47" s="286">
        <v>0</v>
      </c>
      <c r="G47" s="276">
        <v>0</v>
      </c>
    </row>
    <row r="48" spans="1:7" s="260" customFormat="1" ht="15" customHeight="1">
      <c r="A48" s="261">
        <v>444</v>
      </c>
      <c r="B48" s="262"/>
      <c r="C48" s="263" t="s">
        <v>269</v>
      </c>
      <c r="D48" s="275"/>
      <c r="E48" s="264">
        <v>0</v>
      </c>
      <c r="F48" s="286">
        <v>15</v>
      </c>
      <c r="G48" s="276">
        <v>0</v>
      </c>
    </row>
    <row r="49" spans="1:7" s="260" customFormat="1" ht="15" customHeight="1">
      <c r="A49" s="261">
        <v>445</v>
      </c>
      <c r="B49" s="262"/>
      <c r="C49" s="263" t="s">
        <v>275</v>
      </c>
      <c r="D49" s="275"/>
      <c r="E49" s="264">
        <v>308</v>
      </c>
      <c r="F49" s="286">
        <v>596</v>
      </c>
      <c r="G49" s="276">
        <v>232</v>
      </c>
    </row>
    <row r="50" spans="1:7" s="260" customFormat="1" ht="15" customHeight="1">
      <c r="A50" s="261">
        <v>446</v>
      </c>
      <c r="B50" s="262"/>
      <c r="C50" s="263" t="s">
        <v>276</v>
      </c>
      <c r="D50" s="275"/>
      <c r="E50" s="264">
        <v>10954</v>
      </c>
      <c r="F50" s="286">
        <v>9665</v>
      </c>
      <c r="G50" s="276">
        <v>10954</v>
      </c>
    </row>
    <row r="51" spans="1:7" s="260" customFormat="1" ht="15" customHeight="1">
      <c r="A51" s="261">
        <v>447</v>
      </c>
      <c r="B51" s="262"/>
      <c r="C51" s="263" t="s">
        <v>277</v>
      </c>
      <c r="D51" s="275"/>
      <c r="E51" s="264">
        <v>4617</v>
      </c>
      <c r="F51" s="286">
        <v>4704</v>
      </c>
      <c r="G51" s="276">
        <v>4650</v>
      </c>
    </row>
    <row r="52" spans="1:7" s="260" customFormat="1" ht="15" customHeight="1">
      <c r="A52" s="261">
        <v>448</v>
      </c>
      <c r="B52" s="262"/>
      <c r="C52" s="263" t="s">
        <v>278</v>
      </c>
      <c r="D52" s="275"/>
      <c r="E52" s="264">
        <v>0</v>
      </c>
      <c r="F52" s="286">
        <v>0</v>
      </c>
      <c r="G52" s="276">
        <v>0</v>
      </c>
    </row>
    <row r="53" spans="1:7" s="260" customFormat="1" ht="15" customHeight="1">
      <c r="A53" s="261">
        <v>449</v>
      </c>
      <c r="B53" s="262"/>
      <c r="C53" s="263" t="s">
        <v>279</v>
      </c>
      <c r="D53" s="275"/>
      <c r="E53" s="264">
        <v>0</v>
      </c>
      <c r="F53" s="286">
        <v>0</v>
      </c>
      <c r="G53" s="276">
        <v>0</v>
      </c>
    </row>
    <row r="54" spans="1:7" s="285" customFormat="1" ht="13.5" customHeight="1">
      <c r="A54" s="329" t="s">
        <v>280</v>
      </c>
      <c r="B54" s="330"/>
      <c r="C54" s="330" t="s">
        <v>281</v>
      </c>
      <c r="D54" s="332"/>
      <c r="E54" s="331">
        <v>0</v>
      </c>
      <c r="F54" s="333">
        <v>0</v>
      </c>
      <c r="G54" s="334">
        <v>0</v>
      </c>
    </row>
    <row r="55" spans="1:7" ht="15" customHeight="1">
      <c r="A55" s="335"/>
      <c r="B55" s="335"/>
      <c r="C55" s="310" t="s">
        <v>282</v>
      </c>
      <c r="D55" s="311">
        <f>SUM(D44:D53)-SUM(D38:D43)</f>
        <v>0</v>
      </c>
      <c r="E55" s="311">
        <f>SUM(E44:E53)-SUM(E38:E43)</f>
        <v>17805</v>
      </c>
      <c r="F55" s="311">
        <f>SUM(F44:F53)-SUM(F38:F43)</f>
        <v>16996</v>
      </c>
      <c r="G55" s="311">
        <f>SUM(G44:G53)-SUM(G38:G43)</f>
        <v>17410</v>
      </c>
    </row>
    <row r="56" spans="1:7" ht="14.25" customHeight="1">
      <c r="A56" s="335"/>
      <c r="B56" s="335"/>
      <c r="C56" s="310" t="s">
        <v>283</v>
      </c>
      <c r="D56" s="311">
        <f>D55+D37</f>
        <v>0</v>
      </c>
      <c r="E56" s="311">
        <f>E55+E37</f>
        <v>-12061</v>
      </c>
      <c r="F56" s="311">
        <f>F55+F37</f>
        <v>-7194</v>
      </c>
      <c r="G56" s="311">
        <f>G55+G37</f>
        <v>-11965</v>
      </c>
    </row>
    <row r="57" spans="1:7" s="260" customFormat="1" ht="15.75" customHeight="1">
      <c r="A57" s="336">
        <v>380</v>
      </c>
      <c r="B57" s="337"/>
      <c r="C57" s="338" t="s">
        <v>284</v>
      </c>
      <c r="D57" s="340"/>
      <c r="E57" s="339">
        <v>0</v>
      </c>
      <c r="F57" s="341">
        <v>0</v>
      </c>
      <c r="G57" s="342">
        <v>0</v>
      </c>
    </row>
    <row r="58" spans="1:7" s="260" customFormat="1" ht="15.75" customHeight="1">
      <c r="A58" s="336">
        <v>381</v>
      </c>
      <c r="B58" s="337"/>
      <c r="C58" s="338" t="s">
        <v>285</v>
      </c>
      <c r="D58" s="340"/>
      <c r="E58" s="339">
        <v>0</v>
      </c>
      <c r="F58" s="341">
        <v>0</v>
      </c>
      <c r="G58" s="342">
        <v>0</v>
      </c>
    </row>
    <row r="59" spans="1:7" s="285" customFormat="1" ht="25.5">
      <c r="A59" s="278">
        <v>383</v>
      </c>
      <c r="B59" s="279"/>
      <c r="C59" s="280" t="s">
        <v>286</v>
      </c>
      <c r="D59" s="344"/>
      <c r="E59" s="343">
        <v>0</v>
      </c>
      <c r="F59" s="345">
        <v>0</v>
      </c>
      <c r="G59" s="321">
        <v>0</v>
      </c>
    </row>
    <row r="60" spans="1:7" s="285" customFormat="1" ht="12.75">
      <c r="A60" s="278">
        <v>3840</v>
      </c>
      <c r="B60" s="279"/>
      <c r="C60" s="280" t="s">
        <v>287</v>
      </c>
      <c r="D60" s="346"/>
      <c r="E60" s="346">
        <v>0</v>
      </c>
      <c r="F60" s="508">
        <v>0</v>
      </c>
      <c r="G60" s="482">
        <v>0</v>
      </c>
    </row>
    <row r="61" spans="1:7" s="285" customFormat="1" ht="12.75">
      <c r="A61" s="278">
        <v>3841</v>
      </c>
      <c r="B61" s="279"/>
      <c r="C61" s="280" t="s">
        <v>288</v>
      </c>
      <c r="D61" s="346"/>
      <c r="E61" s="346">
        <v>0</v>
      </c>
      <c r="F61" s="508">
        <v>0</v>
      </c>
      <c r="G61" s="482">
        <v>0</v>
      </c>
    </row>
    <row r="62" spans="1:7" s="285" customFormat="1" ht="12.75">
      <c r="A62" s="349">
        <v>386</v>
      </c>
      <c r="B62" s="350"/>
      <c r="C62" s="351" t="s">
        <v>289</v>
      </c>
      <c r="D62" s="346"/>
      <c r="E62" s="346">
        <v>0</v>
      </c>
      <c r="F62" s="508">
        <v>0</v>
      </c>
      <c r="G62" s="482">
        <v>0</v>
      </c>
    </row>
    <row r="63" spans="1:7" s="285" customFormat="1" ht="25.5">
      <c r="A63" s="278">
        <v>387</v>
      </c>
      <c r="B63" s="279"/>
      <c r="C63" s="280" t="s">
        <v>290</v>
      </c>
      <c r="D63" s="346"/>
      <c r="E63" s="346">
        <v>0</v>
      </c>
      <c r="F63" s="508">
        <v>0</v>
      </c>
      <c r="G63" s="482">
        <v>0</v>
      </c>
    </row>
    <row r="64" spans="1:7" s="285" customFormat="1" ht="12.75">
      <c r="A64" s="322">
        <v>389</v>
      </c>
      <c r="B64" s="533"/>
      <c r="C64" s="270" t="s">
        <v>57</v>
      </c>
      <c r="D64" s="271"/>
      <c r="E64" s="271">
        <v>0</v>
      </c>
      <c r="F64" s="272">
        <v>0</v>
      </c>
      <c r="G64" s="273">
        <v>0</v>
      </c>
    </row>
    <row r="65" spans="1:7" s="260" customFormat="1" ht="12.75">
      <c r="A65" s="274" t="s">
        <v>291</v>
      </c>
      <c r="B65" s="262"/>
      <c r="C65" s="263" t="s">
        <v>292</v>
      </c>
      <c r="D65" s="275"/>
      <c r="E65" s="275">
        <v>0</v>
      </c>
      <c r="F65" s="266">
        <v>0</v>
      </c>
      <c r="G65" s="276">
        <v>0</v>
      </c>
    </row>
    <row r="66" spans="1:7" s="355" customFormat="1" ht="25.5">
      <c r="A66" s="492" t="s">
        <v>293</v>
      </c>
      <c r="B66" s="354"/>
      <c r="C66" s="280" t="s">
        <v>294</v>
      </c>
      <c r="D66" s="344"/>
      <c r="E66" s="344">
        <v>0</v>
      </c>
      <c r="F66" s="312">
        <v>0</v>
      </c>
      <c r="G66" s="321">
        <v>0</v>
      </c>
    </row>
    <row r="67" spans="1:7" s="260" customFormat="1" ht="12.75">
      <c r="A67" s="353">
        <v>481</v>
      </c>
      <c r="B67" s="262"/>
      <c r="C67" s="263" t="s">
        <v>295</v>
      </c>
      <c r="D67" s="275"/>
      <c r="E67" s="275">
        <v>0</v>
      </c>
      <c r="F67" s="266">
        <v>0</v>
      </c>
      <c r="G67" s="276">
        <v>0</v>
      </c>
    </row>
    <row r="68" spans="1:7" s="260" customFormat="1" ht="12.75">
      <c r="A68" s="353">
        <v>482</v>
      </c>
      <c r="B68" s="262"/>
      <c r="C68" s="263" t="s">
        <v>296</v>
      </c>
      <c r="D68" s="275"/>
      <c r="E68" s="275">
        <v>0</v>
      </c>
      <c r="F68" s="266">
        <v>0</v>
      </c>
      <c r="G68" s="276">
        <v>0</v>
      </c>
    </row>
    <row r="69" spans="1:7" s="260" customFormat="1" ht="12.75">
      <c r="A69" s="353">
        <v>483</v>
      </c>
      <c r="B69" s="262"/>
      <c r="C69" s="263" t="s">
        <v>297</v>
      </c>
      <c r="D69" s="275"/>
      <c r="E69" s="275">
        <v>0</v>
      </c>
      <c r="F69" s="266">
        <v>0</v>
      </c>
      <c r="G69" s="276">
        <v>0</v>
      </c>
    </row>
    <row r="70" spans="1:7" s="260" customFormat="1" ht="12.75">
      <c r="A70" s="353">
        <v>484</v>
      </c>
      <c r="B70" s="262"/>
      <c r="C70" s="263" t="s">
        <v>298</v>
      </c>
      <c r="D70" s="275"/>
      <c r="E70" s="275">
        <v>0</v>
      </c>
      <c r="F70" s="266">
        <v>0</v>
      </c>
      <c r="G70" s="276">
        <v>0</v>
      </c>
    </row>
    <row r="71" spans="1:7" s="260" customFormat="1" ht="12.75">
      <c r="A71" s="353">
        <v>485</v>
      </c>
      <c r="B71" s="262"/>
      <c r="C71" s="263" t="s">
        <v>299</v>
      </c>
      <c r="D71" s="275"/>
      <c r="E71" s="275">
        <v>0</v>
      </c>
      <c r="F71" s="266">
        <v>0</v>
      </c>
      <c r="G71" s="276">
        <v>0</v>
      </c>
    </row>
    <row r="72" spans="1:7" s="260" customFormat="1" ht="12.75">
      <c r="A72" s="353">
        <v>486</v>
      </c>
      <c r="B72" s="262"/>
      <c r="C72" s="263" t="s">
        <v>300</v>
      </c>
      <c r="D72" s="275"/>
      <c r="E72" s="275">
        <v>0</v>
      </c>
      <c r="F72" s="266">
        <v>0</v>
      </c>
      <c r="G72" s="276">
        <v>0</v>
      </c>
    </row>
    <row r="73" spans="1:7" s="285" customFormat="1" ht="12.75">
      <c r="A73" s="353">
        <v>487</v>
      </c>
      <c r="B73" s="269"/>
      <c r="C73" s="270" t="s">
        <v>301</v>
      </c>
      <c r="D73" s="271"/>
      <c r="E73" s="323">
        <v>0</v>
      </c>
      <c r="F73" s="291">
        <v>0</v>
      </c>
      <c r="G73" s="273">
        <v>0</v>
      </c>
    </row>
    <row r="74" spans="1:7" s="285" customFormat="1" ht="12.75">
      <c r="A74" s="353">
        <v>489</v>
      </c>
      <c r="B74" s="356"/>
      <c r="C74" s="303" t="s">
        <v>74</v>
      </c>
      <c r="D74" s="275"/>
      <c r="E74" s="264">
        <v>10070</v>
      </c>
      <c r="F74" s="286">
        <v>5000</v>
      </c>
      <c r="G74" s="276">
        <v>10000</v>
      </c>
    </row>
    <row r="75" spans="1:7" s="285" customFormat="1" ht="12.75">
      <c r="A75" s="357" t="s">
        <v>302</v>
      </c>
      <c r="B75" s="356"/>
      <c r="C75" s="303" t="s">
        <v>303</v>
      </c>
      <c r="D75" s="275"/>
      <c r="E75" s="275"/>
      <c r="F75" s="266"/>
      <c r="G75" s="276"/>
    </row>
    <row r="76" spans="1:7" ht="12.75">
      <c r="A76" s="309"/>
      <c r="B76" s="309"/>
      <c r="C76" s="310" t="s">
        <v>304</v>
      </c>
      <c r="D76" s="311">
        <f>SUM(D65:D74)-SUM(D57:D64)</f>
        <v>0</v>
      </c>
      <c r="E76" s="311">
        <f>SUM(E65:E74)-SUM(E57:E64)</f>
        <v>10070</v>
      </c>
      <c r="F76" s="311">
        <f>SUM(F65:F74)-SUM(F57:F64)</f>
        <v>5000</v>
      </c>
      <c r="G76" s="311">
        <f>SUM(G65:G74)-SUM(G57:G64)</f>
        <v>10000</v>
      </c>
    </row>
    <row r="77" spans="1:7" ht="12.75">
      <c r="A77" s="358"/>
      <c r="B77" s="358"/>
      <c r="C77" s="310" t="s">
        <v>305</v>
      </c>
      <c r="D77" s="311">
        <f>D56+D76</f>
        <v>0</v>
      </c>
      <c r="E77" s="311">
        <f>E56+E76</f>
        <v>-1991</v>
      </c>
      <c r="F77" s="311">
        <f>F56+F76</f>
        <v>-2194</v>
      </c>
      <c r="G77" s="311">
        <f>G56+G76</f>
        <v>-1965</v>
      </c>
    </row>
    <row r="78" spans="1:7" ht="12.75">
      <c r="A78" s="359">
        <v>3</v>
      </c>
      <c r="B78" s="359"/>
      <c r="C78" s="360" t="s">
        <v>306</v>
      </c>
      <c r="D78" s="361">
        <f>D20+D21+SUM(D38:D43)+SUM(D57:D64)</f>
        <v>0</v>
      </c>
      <c r="E78" s="361">
        <f>E20+E21+SUM(E38:E43)+SUM(E57:E64)</f>
        <v>291579</v>
      </c>
      <c r="F78" s="361">
        <f>F20+F21+SUM(F38:F43)+SUM(F57:F64)</f>
        <v>282249</v>
      </c>
      <c r="G78" s="361">
        <f>G20+G21+SUM(G38:G43)+SUM(G57:G64)</f>
        <v>291634</v>
      </c>
    </row>
    <row r="79" spans="1:7" ht="12.75">
      <c r="A79" s="359">
        <v>4</v>
      </c>
      <c r="B79" s="359"/>
      <c r="C79" s="360" t="s">
        <v>307</v>
      </c>
      <c r="D79" s="361">
        <f>D35+D36+SUM(D44:D53)+SUM(D65:D74)</f>
        <v>0</v>
      </c>
      <c r="E79" s="361">
        <f>E35+E36+SUM(E44:E53)+SUM(E65:E74)</f>
        <v>289588</v>
      </c>
      <c r="F79" s="361">
        <f>F35+F36+SUM(F44:F53)+SUM(F65:F74)</f>
        <v>280055</v>
      </c>
      <c r="G79" s="361">
        <f>G35+G36+SUM(G44:G53)+SUM(G65:G74)</f>
        <v>289669</v>
      </c>
    </row>
    <row r="80" spans="1:7" ht="12.75">
      <c r="A80" s="362"/>
      <c r="B80" s="362"/>
      <c r="C80" s="363"/>
      <c r="D80" s="364"/>
      <c r="E80" s="364"/>
      <c r="F80" s="364"/>
      <c r="G80" s="364"/>
    </row>
    <row r="81" spans="1:7" ht="12.75">
      <c r="A81" s="611" t="s">
        <v>308</v>
      </c>
      <c r="B81" s="612"/>
      <c r="C81" s="612"/>
      <c r="D81" s="366"/>
      <c r="E81" s="365"/>
      <c r="F81" s="365"/>
      <c r="G81" s="366"/>
    </row>
    <row r="82" spans="1:7" s="260" customFormat="1" ht="12.75">
      <c r="A82" s="367">
        <v>50</v>
      </c>
      <c r="B82" s="368"/>
      <c r="C82" s="368" t="s">
        <v>309</v>
      </c>
      <c r="D82" s="275"/>
      <c r="E82" s="275">
        <v>14540</v>
      </c>
      <c r="F82" s="266">
        <v>10313</v>
      </c>
      <c r="G82" s="276">
        <v>21035</v>
      </c>
    </row>
    <row r="83" spans="1:7" s="260" customFormat="1" ht="12.75">
      <c r="A83" s="367">
        <v>51</v>
      </c>
      <c r="B83" s="368"/>
      <c r="C83" s="368" t="s">
        <v>310</v>
      </c>
      <c r="D83" s="275"/>
      <c r="E83" s="275">
        <v>33407</v>
      </c>
      <c r="F83" s="266">
        <v>33453</v>
      </c>
      <c r="G83" s="276">
        <v>11707</v>
      </c>
    </row>
    <row r="84" spans="1:7" s="260" customFormat="1" ht="12.75">
      <c r="A84" s="367">
        <v>52</v>
      </c>
      <c r="B84" s="368"/>
      <c r="C84" s="368" t="s">
        <v>311</v>
      </c>
      <c r="D84" s="275"/>
      <c r="E84" s="275">
        <v>856</v>
      </c>
      <c r="F84" s="266">
        <v>667</v>
      </c>
      <c r="G84" s="276">
        <v>795</v>
      </c>
    </row>
    <row r="85" spans="1:7" s="260" customFormat="1" ht="12.75">
      <c r="A85" s="369">
        <v>54</v>
      </c>
      <c r="B85" s="370"/>
      <c r="C85" s="370" t="s">
        <v>312</v>
      </c>
      <c r="D85" s="271"/>
      <c r="E85" s="271">
        <v>1668</v>
      </c>
      <c r="F85" s="266">
        <v>1086</v>
      </c>
      <c r="G85" s="276">
        <v>1119</v>
      </c>
    </row>
    <row r="86" spans="1:7" s="260" customFormat="1" ht="12.75">
      <c r="A86" s="369">
        <v>55</v>
      </c>
      <c r="B86" s="370"/>
      <c r="C86" s="370" t="s">
        <v>313</v>
      </c>
      <c r="D86" s="271"/>
      <c r="E86" s="271">
        <v>87</v>
      </c>
      <c r="F86" s="266">
        <v>92</v>
      </c>
      <c r="G86" s="276">
        <v>0</v>
      </c>
    </row>
    <row r="87" spans="1:7" s="260" customFormat="1" ht="12.75">
      <c r="A87" s="369">
        <v>56</v>
      </c>
      <c r="B87" s="370"/>
      <c r="C87" s="370" t="s">
        <v>314</v>
      </c>
      <c r="D87" s="271"/>
      <c r="E87" s="271">
        <v>14723</v>
      </c>
      <c r="F87" s="266">
        <v>12771</v>
      </c>
      <c r="G87" s="276">
        <v>10703</v>
      </c>
    </row>
    <row r="88" spans="1:7" s="260" customFormat="1" ht="12.75">
      <c r="A88" s="367">
        <v>57</v>
      </c>
      <c r="B88" s="368"/>
      <c r="C88" s="368" t="s">
        <v>315</v>
      </c>
      <c r="D88" s="275"/>
      <c r="E88" s="275">
        <v>16727</v>
      </c>
      <c r="F88" s="266">
        <v>14516</v>
      </c>
      <c r="G88" s="276">
        <v>14477</v>
      </c>
    </row>
    <row r="89" spans="1:7" s="260" customFormat="1" ht="12.75">
      <c r="A89" s="367">
        <v>580</v>
      </c>
      <c r="B89" s="368"/>
      <c r="C89" s="368" t="s">
        <v>316</v>
      </c>
      <c r="D89" s="275"/>
      <c r="E89" s="275">
        <v>0</v>
      </c>
      <c r="F89" s="266">
        <v>0</v>
      </c>
      <c r="G89" s="276">
        <v>0</v>
      </c>
    </row>
    <row r="90" spans="1:7" s="260" customFormat="1" ht="12.75">
      <c r="A90" s="367">
        <v>582</v>
      </c>
      <c r="B90" s="368"/>
      <c r="C90" s="368" t="s">
        <v>317</v>
      </c>
      <c r="D90" s="275"/>
      <c r="E90" s="275">
        <v>0</v>
      </c>
      <c r="F90" s="266">
        <v>0</v>
      </c>
      <c r="G90" s="276">
        <v>0</v>
      </c>
    </row>
    <row r="91" spans="1:7" s="260" customFormat="1" ht="12.75">
      <c r="A91" s="367">
        <v>584</v>
      </c>
      <c r="B91" s="368"/>
      <c r="C91" s="368" t="s">
        <v>318</v>
      </c>
      <c r="D91" s="275"/>
      <c r="E91" s="275">
        <v>0</v>
      </c>
      <c r="F91" s="266">
        <v>0</v>
      </c>
      <c r="G91" s="276">
        <v>0</v>
      </c>
    </row>
    <row r="92" spans="1:7" s="260" customFormat="1" ht="12.75">
      <c r="A92" s="367">
        <v>585</v>
      </c>
      <c r="B92" s="368"/>
      <c r="C92" s="368" t="s">
        <v>319</v>
      </c>
      <c r="D92" s="275"/>
      <c r="E92" s="275">
        <v>0</v>
      </c>
      <c r="F92" s="266">
        <v>0</v>
      </c>
      <c r="G92" s="276">
        <v>0</v>
      </c>
    </row>
    <row r="93" spans="1:7" s="260" customFormat="1" ht="12.75">
      <c r="A93" s="367">
        <v>586</v>
      </c>
      <c r="B93" s="368"/>
      <c r="C93" s="368" t="s">
        <v>320</v>
      </c>
      <c r="D93" s="275"/>
      <c r="E93" s="275">
        <v>0</v>
      </c>
      <c r="F93" s="266">
        <v>0</v>
      </c>
      <c r="G93" s="276">
        <v>0</v>
      </c>
    </row>
    <row r="94" spans="1:7" s="260" customFormat="1" ht="12.75">
      <c r="A94" s="371">
        <v>589</v>
      </c>
      <c r="B94" s="372"/>
      <c r="C94" s="372" t="s">
        <v>321</v>
      </c>
      <c r="D94" s="306"/>
      <c r="E94" s="306">
        <v>0</v>
      </c>
      <c r="F94" s="373">
        <v>0</v>
      </c>
      <c r="G94" s="308">
        <v>0</v>
      </c>
    </row>
    <row r="95" spans="1:7" ht="12.75">
      <c r="A95" s="374">
        <v>5</v>
      </c>
      <c r="B95" s="375"/>
      <c r="C95" s="375" t="s">
        <v>322</v>
      </c>
      <c r="D95" s="376">
        <f>SUM(D82:D94)</f>
        <v>0</v>
      </c>
      <c r="E95" s="376">
        <f>SUM(E82:E94)</f>
        <v>82008</v>
      </c>
      <c r="F95" s="376">
        <f>SUM(F82:F94)</f>
        <v>72898</v>
      </c>
      <c r="G95" s="376">
        <f>SUM(G82:G94)</f>
        <v>59836</v>
      </c>
    </row>
    <row r="96" spans="1:7" s="260" customFormat="1" ht="12.75">
      <c r="A96" s="367">
        <v>60</v>
      </c>
      <c r="B96" s="368"/>
      <c r="C96" s="368" t="s">
        <v>323</v>
      </c>
      <c r="D96" s="275"/>
      <c r="E96" s="275"/>
      <c r="F96" s="266"/>
      <c r="G96" s="276"/>
    </row>
    <row r="97" spans="1:7" s="260" customFormat="1" ht="12.75">
      <c r="A97" s="367">
        <v>61</v>
      </c>
      <c r="B97" s="368"/>
      <c r="C97" s="368" t="s">
        <v>324</v>
      </c>
      <c r="D97" s="275"/>
      <c r="E97" s="275">
        <v>32405</v>
      </c>
      <c r="F97" s="266">
        <v>32537</v>
      </c>
      <c r="G97" s="276">
        <v>11506</v>
      </c>
    </row>
    <row r="98" spans="1:7" s="260" customFormat="1" ht="12.75">
      <c r="A98" s="367">
        <v>62</v>
      </c>
      <c r="B98" s="368"/>
      <c r="C98" s="368" t="s">
        <v>325</v>
      </c>
      <c r="D98" s="275"/>
      <c r="E98" s="275"/>
      <c r="F98" s="266"/>
      <c r="G98" s="276"/>
    </row>
    <row r="99" spans="1:7" s="260" customFormat="1" ht="12.75">
      <c r="A99" s="367">
        <v>63</v>
      </c>
      <c r="B99" s="368"/>
      <c r="C99" s="368" t="s">
        <v>326</v>
      </c>
      <c r="D99" s="275"/>
      <c r="E99" s="275">
        <v>2250</v>
      </c>
      <c r="F99" s="266">
        <v>1445</v>
      </c>
      <c r="G99" s="276">
        <v>755</v>
      </c>
    </row>
    <row r="100" spans="1:7" s="260" customFormat="1" ht="12.75">
      <c r="A100" s="369">
        <v>64</v>
      </c>
      <c r="B100" s="370"/>
      <c r="C100" s="370" t="s">
        <v>327</v>
      </c>
      <c r="D100" s="271"/>
      <c r="E100" s="271">
        <v>956</v>
      </c>
      <c r="F100" s="266">
        <v>967</v>
      </c>
      <c r="G100" s="276">
        <v>966</v>
      </c>
    </row>
    <row r="101" spans="1:7" s="260" customFormat="1" ht="12.75">
      <c r="A101" s="369">
        <v>65</v>
      </c>
      <c r="B101" s="370"/>
      <c r="C101" s="370" t="s">
        <v>328</v>
      </c>
      <c r="D101" s="271"/>
      <c r="E101" s="271"/>
      <c r="F101" s="266"/>
      <c r="G101" s="276"/>
    </row>
    <row r="102" spans="1:7" s="260" customFormat="1" ht="12.75">
      <c r="A102" s="369">
        <v>66</v>
      </c>
      <c r="B102" s="370"/>
      <c r="C102" s="370" t="s">
        <v>329</v>
      </c>
      <c r="D102" s="271"/>
      <c r="E102" s="271"/>
      <c r="F102" s="266"/>
      <c r="G102" s="276"/>
    </row>
    <row r="103" spans="1:7" s="260" customFormat="1" ht="12.75">
      <c r="A103" s="367">
        <v>67</v>
      </c>
      <c r="B103" s="368"/>
      <c r="C103" s="368" t="s">
        <v>315</v>
      </c>
      <c r="D103" s="275"/>
      <c r="E103" s="275">
        <v>16727</v>
      </c>
      <c r="F103" s="286">
        <v>14516</v>
      </c>
      <c r="G103" s="267">
        <v>14477</v>
      </c>
    </row>
    <row r="104" spans="1:7" s="260" customFormat="1" ht="25.5">
      <c r="A104" s="377" t="s">
        <v>330</v>
      </c>
      <c r="B104" s="368"/>
      <c r="C104" s="378" t="s">
        <v>331</v>
      </c>
      <c r="D104" s="264"/>
      <c r="E104" s="264">
        <v>0</v>
      </c>
      <c r="F104" s="286">
        <v>0</v>
      </c>
      <c r="G104" s="267">
        <v>0</v>
      </c>
    </row>
    <row r="105" spans="1:7" s="260" customFormat="1" ht="38.25">
      <c r="A105" s="381" t="s">
        <v>332</v>
      </c>
      <c r="B105" s="372"/>
      <c r="C105" s="382" t="s">
        <v>333</v>
      </c>
      <c r="D105" s="304"/>
      <c r="E105" s="304">
        <v>3650</v>
      </c>
      <c r="F105" s="307">
        <v>2110</v>
      </c>
      <c r="G105" s="486">
        <v>3475</v>
      </c>
    </row>
    <row r="106" spans="1:7" ht="12.75">
      <c r="A106" s="374">
        <v>6</v>
      </c>
      <c r="B106" s="375"/>
      <c r="C106" s="375" t="s">
        <v>334</v>
      </c>
      <c r="D106" s="376">
        <f>SUM(D96:D105)</f>
        <v>0</v>
      </c>
      <c r="E106" s="376">
        <f>SUM(E96:E105)</f>
        <v>55988</v>
      </c>
      <c r="F106" s="376">
        <f>SUM(F96:F105)</f>
        <v>51575</v>
      </c>
      <c r="G106" s="376">
        <f>SUM(G96:G105)</f>
        <v>31179</v>
      </c>
    </row>
    <row r="107" spans="1:7" ht="12.75">
      <c r="A107" s="386" t="s">
        <v>335</v>
      </c>
      <c r="B107" s="386"/>
      <c r="C107" s="375" t="s">
        <v>3</v>
      </c>
      <c r="D107" s="376">
        <f>(D95-D88)-(D106-D103)</f>
        <v>0</v>
      </c>
      <c r="E107" s="376">
        <f>(E95-E88)-(E106-E103)</f>
        <v>26020</v>
      </c>
      <c r="F107" s="376">
        <f>(F95-F88)-(F106-F103)</f>
        <v>21323</v>
      </c>
      <c r="G107" s="376">
        <f>(G95-G88)-(G106-G103)</f>
        <v>28657</v>
      </c>
    </row>
    <row r="108" spans="1:7" ht="12.75">
      <c r="A108" s="387" t="s">
        <v>336</v>
      </c>
      <c r="B108" s="387"/>
      <c r="C108" s="388" t="s">
        <v>337</v>
      </c>
      <c r="D108" s="376">
        <f>D107-D85-D86+D100+D101</f>
        <v>0</v>
      </c>
      <c r="E108" s="376">
        <f>E107-E85-E86+E100+E101</f>
        <v>25221</v>
      </c>
      <c r="F108" s="376">
        <f>F107-F85-F86+F100+F101</f>
        <v>21112</v>
      </c>
      <c r="G108" s="376">
        <f>G107-G85-G86+G100+G101</f>
        <v>28504</v>
      </c>
    </row>
    <row r="109" spans="1:7" ht="12.75">
      <c r="A109" s="362"/>
      <c r="B109" s="362"/>
      <c r="C109" s="363"/>
      <c r="D109" s="364"/>
      <c r="E109" s="364"/>
      <c r="F109" s="364"/>
      <c r="G109" s="364"/>
    </row>
    <row r="110" spans="1:7" s="250" customFormat="1" ht="12.75">
      <c r="A110" s="390" t="s">
        <v>338</v>
      </c>
      <c r="B110" s="391"/>
      <c r="C110" s="390"/>
      <c r="D110" s="364"/>
      <c r="E110" s="364"/>
      <c r="F110" s="364"/>
      <c r="G110" s="364"/>
    </row>
    <row r="111" spans="1:7" s="396" customFormat="1" ht="12.75">
      <c r="A111" s="392">
        <v>10</v>
      </c>
      <c r="B111" s="393"/>
      <c r="C111" s="393" t="s">
        <v>339</v>
      </c>
      <c r="D111" s="394">
        <f>D112+D117</f>
        <v>0</v>
      </c>
      <c r="E111" s="394">
        <f>E112+E117</f>
        <v>0</v>
      </c>
      <c r="F111" s="394">
        <f>F112+F117</f>
        <v>187284</v>
      </c>
      <c r="G111" s="395">
        <f>G112+G117</f>
        <v>0</v>
      </c>
    </row>
    <row r="112" spans="1:7" s="396" customFormat="1" ht="12.75">
      <c r="A112" s="397" t="s">
        <v>340</v>
      </c>
      <c r="B112" s="398"/>
      <c r="C112" s="398" t="s">
        <v>341</v>
      </c>
      <c r="D112" s="394">
        <f>D113+D114+D115+D116</f>
        <v>0</v>
      </c>
      <c r="E112" s="394">
        <f>E113+E114+E115+E116</f>
        <v>0</v>
      </c>
      <c r="F112" s="394">
        <f>F113+F114+F115+F116</f>
        <v>116313</v>
      </c>
      <c r="G112" s="395">
        <f>G113+G114+G115+G116</f>
        <v>0</v>
      </c>
    </row>
    <row r="113" spans="1:7" s="396" customFormat="1" ht="12.75">
      <c r="A113" s="410" t="s">
        <v>342</v>
      </c>
      <c r="B113" s="411"/>
      <c r="C113" s="411" t="s">
        <v>343</v>
      </c>
      <c r="D113" s="275"/>
      <c r="E113" s="275"/>
      <c r="F113" s="275">
        <v>84513</v>
      </c>
      <c r="G113" s="277"/>
    </row>
    <row r="114" spans="1:7" s="406" customFormat="1" ht="15" customHeight="1">
      <c r="A114" s="414">
        <v>102</v>
      </c>
      <c r="B114" s="494"/>
      <c r="C114" s="494" t="s">
        <v>344</v>
      </c>
      <c r="D114" s="344"/>
      <c r="E114" s="344"/>
      <c r="F114" s="344">
        <v>26500</v>
      </c>
      <c r="G114" s="495"/>
    </row>
    <row r="115" spans="1:7" s="396" customFormat="1" ht="12.75">
      <c r="A115" s="410">
        <v>104</v>
      </c>
      <c r="B115" s="411"/>
      <c r="C115" s="411" t="s">
        <v>345</v>
      </c>
      <c r="D115" s="275"/>
      <c r="E115" s="275"/>
      <c r="F115" s="275">
        <v>5036</v>
      </c>
      <c r="G115" s="277"/>
    </row>
    <row r="116" spans="1:7" s="396" customFormat="1" ht="12.75">
      <c r="A116" s="410">
        <v>106</v>
      </c>
      <c r="B116" s="411"/>
      <c r="C116" s="411" t="s">
        <v>346</v>
      </c>
      <c r="D116" s="275"/>
      <c r="E116" s="275"/>
      <c r="F116" s="275">
        <v>264</v>
      </c>
      <c r="G116" s="277"/>
    </row>
    <row r="117" spans="1:7" s="396" customFormat="1" ht="12.75">
      <c r="A117" s="397" t="s">
        <v>347</v>
      </c>
      <c r="B117" s="398"/>
      <c r="C117" s="398" t="s">
        <v>348</v>
      </c>
      <c r="D117" s="394">
        <f>D118+D119+D120</f>
        <v>0</v>
      </c>
      <c r="E117" s="394">
        <f>E118+E119+E120</f>
        <v>0</v>
      </c>
      <c r="F117" s="394">
        <f>F118+F119+F120</f>
        <v>70971</v>
      </c>
      <c r="G117" s="395">
        <f>G118+G119+G120</f>
        <v>0</v>
      </c>
    </row>
    <row r="118" spans="1:7" s="396" customFormat="1" ht="12.75">
      <c r="A118" s="410">
        <v>107</v>
      </c>
      <c r="B118" s="411"/>
      <c r="C118" s="411" t="s">
        <v>349</v>
      </c>
      <c r="D118" s="275"/>
      <c r="E118" s="275"/>
      <c r="F118" s="275">
        <v>70653</v>
      </c>
      <c r="G118" s="277"/>
    </row>
    <row r="119" spans="1:7" s="396" customFormat="1" ht="12.75">
      <c r="A119" s="410">
        <v>108</v>
      </c>
      <c r="B119" s="411"/>
      <c r="C119" s="411" t="s">
        <v>350</v>
      </c>
      <c r="D119" s="275"/>
      <c r="E119" s="275"/>
      <c r="F119" s="275">
        <v>318</v>
      </c>
      <c r="G119" s="277"/>
    </row>
    <row r="120" spans="1:7" s="409" customFormat="1" ht="25.5">
      <c r="A120" s="414">
        <v>109</v>
      </c>
      <c r="B120" s="415"/>
      <c r="C120" s="415" t="s">
        <v>351</v>
      </c>
      <c r="D120" s="281"/>
      <c r="E120" s="281"/>
      <c r="F120" s="281">
        <v>0</v>
      </c>
      <c r="G120" s="496"/>
    </row>
    <row r="121" spans="1:7" s="396" customFormat="1" ht="12.75">
      <c r="A121" s="397">
        <v>14</v>
      </c>
      <c r="B121" s="398"/>
      <c r="C121" s="398" t="s">
        <v>352</v>
      </c>
      <c r="D121" s="394">
        <f>SUM(D122:D130)</f>
        <v>0</v>
      </c>
      <c r="E121" s="394">
        <f>SUM(E122:E130)</f>
        <v>0</v>
      </c>
      <c r="F121" s="394">
        <f>SUM(F122:F130)</f>
        <v>112856</v>
      </c>
      <c r="G121" s="394">
        <f>SUM(G122:G130)</f>
        <v>0</v>
      </c>
    </row>
    <row r="122" spans="1:7" s="396" customFormat="1" ht="12.75">
      <c r="A122" s="410" t="s">
        <v>353</v>
      </c>
      <c r="B122" s="411"/>
      <c r="C122" s="411" t="s">
        <v>354</v>
      </c>
      <c r="D122" s="275"/>
      <c r="E122" s="275"/>
      <c r="F122" s="275">
        <v>53928</v>
      </c>
      <c r="G122" s="277"/>
    </row>
    <row r="123" spans="1:7" s="396" customFormat="1" ht="12.75">
      <c r="A123" s="410">
        <v>144</v>
      </c>
      <c r="B123" s="411"/>
      <c r="C123" s="411" t="s">
        <v>312</v>
      </c>
      <c r="D123" s="275"/>
      <c r="E123" s="275"/>
      <c r="F123" s="275">
        <v>7733</v>
      </c>
      <c r="G123" s="277"/>
    </row>
    <row r="124" spans="1:7" s="396" customFormat="1" ht="12.75">
      <c r="A124" s="410">
        <v>145</v>
      </c>
      <c r="B124" s="411"/>
      <c r="C124" s="411" t="s">
        <v>355</v>
      </c>
      <c r="D124" s="275"/>
      <c r="E124" s="412"/>
      <c r="F124" s="275">
        <v>22165</v>
      </c>
      <c r="G124" s="413"/>
    </row>
    <row r="125" spans="1:7" s="396" customFormat="1" ht="12.75">
      <c r="A125" s="410">
        <v>146</v>
      </c>
      <c r="B125" s="411"/>
      <c r="C125" s="411" t="s">
        <v>356</v>
      </c>
      <c r="D125" s="275"/>
      <c r="E125" s="412"/>
      <c r="F125" s="275">
        <v>29030</v>
      </c>
      <c r="G125" s="413"/>
    </row>
    <row r="126" spans="1:7" s="409" customFormat="1" ht="29.25" customHeight="1">
      <c r="A126" s="414" t="s">
        <v>357</v>
      </c>
      <c r="B126" s="415"/>
      <c r="C126" s="415" t="s">
        <v>358</v>
      </c>
      <c r="D126" s="281"/>
      <c r="E126" s="416"/>
      <c r="F126" s="281">
        <v>0</v>
      </c>
      <c r="G126" s="417"/>
    </row>
    <row r="127" spans="1:7" s="396" customFormat="1" ht="12.75">
      <c r="A127" s="410">
        <v>1484</v>
      </c>
      <c r="B127" s="411"/>
      <c r="C127" s="411" t="s">
        <v>359</v>
      </c>
      <c r="D127" s="275"/>
      <c r="E127" s="412"/>
      <c r="F127" s="275">
        <v>0</v>
      </c>
      <c r="G127" s="413"/>
    </row>
    <row r="128" spans="1:7" s="396" customFormat="1" ht="12.75">
      <c r="A128" s="410">
        <v>1485</v>
      </c>
      <c r="B128" s="411"/>
      <c r="C128" s="411" t="s">
        <v>360</v>
      </c>
      <c r="D128" s="275"/>
      <c r="E128" s="412"/>
      <c r="F128" s="275">
        <v>0</v>
      </c>
      <c r="G128" s="413"/>
    </row>
    <row r="129" spans="1:7" s="396" customFormat="1" ht="12.75">
      <c r="A129" s="410">
        <v>1486</v>
      </c>
      <c r="B129" s="411"/>
      <c r="C129" s="411" t="s">
        <v>361</v>
      </c>
      <c r="D129" s="275"/>
      <c r="E129" s="412"/>
      <c r="F129" s="275">
        <v>0</v>
      </c>
      <c r="G129" s="413"/>
    </row>
    <row r="130" spans="1:7" s="396" customFormat="1" ht="12.75">
      <c r="A130" s="418">
        <v>1489</v>
      </c>
      <c r="B130" s="419"/>
      <c r="C130" s="419" t="s">
        <v>362</v>
      </c>
      <c r="D130" s="306"/>
      <c r="E130" s="420"/>
      <c r="F130" s="306">
        <v>0</v>
      </c>
      <c r="G130" s="421"/>
    </row>
    <row r="131" spans="1:7" s="250" customFormat="1" ht="12.75">
      <c r="A131" s="422">
        <v>1</v>
      </c>
      <c r="B131" s="423"/>
      <c r="C131" s="422" t="s">
        <v>363</v>
      </c>
      <c r="D131" s="424">
        <f>D111+D121</f>
        <v>0</v>
      </c>
      <c r="E131" s="424">
        <f>E111+E121</f>
        <v>0</v>
      </c>
      <c r="F131" s="424">
        <f>F111+F121</f>
        <v>300140</v>
      </c>
      <c r="G131" s="424">
        <f>G111+G121</f>
        <v>0</v>
      </c>
    </row>
    <row r="132" spans="1:7" s="250" customFormat="1" ht="12.75">
      <c r="A132" s="362"/>
      <c r="B132" s="362"/>
      <c r="C132" s="363"/>
      <c r="D132" s="364"/>
      <c r="E132" s="364"/>
      <c r="F132" s="364"/>
      <c r="G132" s="364"/>
    </row>
    <row r="133" spans="1:7" s="396" customFormat="1" ht="12.75">
      <c r="A133" s="392">
        <v>20</v>
      </c>
      <c r="B133" s="393"/>
      <c r="C133" s="393" t="s">
        <v>364</v>
      </c>
      <c r="D133" s="425">
        <f>D134+D140</f>
        <v>0</v>
      </c>
      <c r="E133" s="425">
        <f>E134+E140</f>
        <v>0</v>
      </c>
      <c r="F133" s="425">
        <f>F134+F140</f>
        <v>104693</v>
      </c>
      <c r="G133" s="426">
        <f>G134+G140</f>
        <v>0</v>
      </c>
    </row>
    <row r="134" spans="1:7" s="396" customFormat="1" ht="12.75">
      <c r="A134" s="427" t="s">
        <v>365</v>
      </c>
      <c r="B134" s="398"/>
      <c r="C134" s="398" t="s">
        <v>366</v>
      </c>
      <c r="D134" s="394">
        <f>D135+D136+D138+D139</f>
        <v>0</v>
      </c>
      <c r="E134" s="394">
        <f>E135+E136+E138+E139</f>
        <v>0</v>
      </c>
      <c r="F134" s="394">
        <f>F135+F136+F138+F139</f>
        <v>58966</v>
      </c>
      <c r="G134" s="395">
        <f>G135+G136+G138+G139</f>
        <v>0</v>
      </c>
    </row>
    <row r="135" spans="1:7" s="429" customFormat="1" ht="12.75">
      <c r="A135" s="428">
        <v>200</v>
      </c>
      <c r="B135" s="411"/>
      <c r="C135" s="411" t="s">
        <v>367</v>
      </c>
      <c r="D135" s="275"/>
      <c r="E135" s="275"/>
      <c r="F135" s="275">
        <v>42786</v>
      </c>
      <c r="G135" s="277"/>
    </row>
    <row r="136" spans="1:7" s="429" customFormat="1" ht="12.75">
      <c r="A136" s="428">
        <v>201</v>
      </c>
      <c r="B136" s="411"/>
      <c r="C136" s="411" t="s">
        <v>368</v>
      </c>
      <c r="D136" s="275"/>
      <c r="E136" s="275"/>
      <c r="F136" s="275">
        <v>5770</v>
      </c>
      <c r="G136" s="277"/>
    </row>
    <row r="137" spans="1:7" s="429" customFormat="1" ht="12.75">
      <c r="A137" s="430" t="s">
        <v>369</v>
      </c>
      <c r="B137" s="400"/>
      <c r="C137" s="400" t="s">
        <v>370</v>
      </c>
      <c r="D137" s="271"/>
      <c r="E137" s="431"/>
      <c r="F137" s="271">
        <v>0</v>
      </c>
      <c r="G137" s="432"/>
    </row>
    <row r="138" spans="1:7" s="429" customFormat="1" ht="12.75">
      <c r="A138" s="428">
        <v>204</v>
      </c>
      <c r="B138" s="411"/>
      <c r="C138" s="411" t="s">
        <v>371</v>
      </c>
      <c r="D138" s="275"/>
      <c r="E138" s="412"/>
      <c r="F138" s="275">
        <v>9398</v>
      </c>
      <c r="G138" s="413"/>
    </row>
    <row r="139" spans="1:7" s="429" customFormat="1" ht="12.75">
      <c r="A139" s="428">
        <v>205</v>
      </c>
      <c r="B139" s="411"/>
      <c r="C139" s="411" t="s">
        <v>372</v>
      </c>
      <c r="D139" s="275"/>
      <c r="E139" s="412"/>
      <c r="F139" s="275">
        <v>1012</v>
      </c>
      <c r="G139" s="413"/>
    </row>
    <row r="140" spans="1:7" s="429" customFormat="1" ht="12.75">
      <c r="A140" s="427" t="s">
        <v>373</v>
      </c>
      <c r="B140" s="398"/>
      <c r="C140" s="398" t="s">
        <v>374</v>
      </c>
      <c r="D140" s="394">
        <f>D141+D143+D144</f>
        <v>0</v>
      </c>
      <c r="E140" s="394">
        <f>E141+E143+E144</f>
        <v>0</v>
      </c>
      <c r="F140" s="394">
        <f>F141+F143+F144</f>
        <v>45727</v>
      </c>
      <c r="G140" s="395">
        <f>G141+G143+G144</f>
        <v>0</v>
      </c>
    </row>
    <row r="141" spans="1:7" s="429" customFormat="1" ht="12.75">
      <c r="A141" s="428">
        <v>206</v>
      </c>
      <c r="B141" s="411"/>
      <c r="C141" s="411" t="s">
        <v>375</v>
      </c>
      <c r="D141" s="275"/>
      <c r="E141" s="412"/>
      <c r="F141" s="275">
        <v>0</v>
      </c>
      <c r="G141" s="413"/>
    </row>
    <row r="142" spans="1:7" s="429" customFormat="1" ht="12.75">
      <c r="A142" s="430" t="s">
        <v>376</v>
      </c>
      <c r="B142" s="400"/>
      <c r="C142" s="400" t="s">
        <v>377</v>
      </c>
      <c r="D142" s="271"/>
      <c r="E142" s="431"/>
      <c r="F142" s="271">
        <v>0</v>
      </c>
      <c r="G142" s="432"/>
    </row>
    <row r="143" spans="1:7" s="429" customFormat="1" ht="12.75">
      <c r="A143" s="428">
        <v>208</v>
      </c>
      <c r="B143" s="411"/>
      <c r="C143" s="411" t="s">
        <v>378</v>
      </c>
      <c r="D143" s="275"/>
      <c r="E143" s="412"/>
      <c r="F143" s="275">
        <v>4239</v>
      </c>
      <c r="G143" s="413"/>
    </row>
    <row r="144" spans="1:7" s="433" customFormat="1" ht="25.5">
      <c r="A144" s="414">
        <v>209</v>
      </c>
      <c r="B144" s="415"/>
      <c r="C144" s="415" t="s">
        <v>379</v>
      </c>
      <c r="D144" s="281"/>
      <c r="E144" s="416"/>
      <c r="F144" s="281">
        <v>41488</v>
      </c>
      <c r="G144" s="417"/>
    </row>
    <row r="145" spans="1:7" s="396" customFormat="1" ht="12.75">
      <c r="A145" s="427">
        <v>29</v>
      </c>
      <c r="B145" s="398"/>
      <c r="C145" s="398" t="s">
        <v>380</v>
      </c>
      <c r="D145" s="412"/>
      <c r="E145" s="412"/>
      <c r="F145" s="412">
        <v>195447</v>
      </c>
      <c r="G145" s="413"/>
    </row>
    <row r="146" spans="1:7" s="396" customFormat="1" ht="12.75">
      <c r="A146" s="434" t="s">
        <v>381</v>
      </c>
      <c r="B146" s="435"/>
      <c r="C146" s="435" t="s">
        <v>382</v>
      </c>
      <c r="D146" s="332"/>
      <c r="E146" s="332"/>
      <c r="F146" s="332">
        <v>151886</v>
      </c>
      <c r="G146" s="436"/>
    </row>
    <row r="147" spans="1:7" s="250" customFormat="1" ht="12.75">
      <c r="A147" s="422">
        <v>2</v>
      </c>
      <c r="B147" s="423"/>
      <c r="C147" s="422" t="s">
        <v>383</v>
      </c>
      <c r="D147" s="424">
        <f>D133+D145</f>
        <v>0</v>
      </c>
      <c r="E147" s="424">
        <f>E133+E145</f>
        <v>0</v>
      </c>
      <c r="F147" s="424">
        <f>F133+F145</f>
        <v>300140</v>
      </c>
      <c r="G147" s="424">
        <f>G133+G145</f>
        <v>0</v>
      </c>
    </row>
    <row r="148" spans="4:6" ht="7.5" customHeight="1">
      <c r="D148" s="250"/>
      <c r="F148" s="250"/>
    </row>
    <row r="149" spans="1:7" ht="13.5" customHeight="1">
      <c r="A149" s="437" t="s">
        <v>384</v>
      </c>
      <c r="B149" s="438"/>
      <c r="C149" s="439" t="s">
        <v>385</v>
      </c>
      <c r="D149" s="438"/>
      <c r="E149" s="438"/>
      <c r="F149" s="438"/>
      <c r="G149" s="438"/>
    </row>
    <row r="150" spans="1:7" ht="12.75">
      <c r="A150" s="509" t="s">
        <v>386</v>
      </c>
      <c r="B150" s="509"/>
      <c r="C150" s="509" t="s">
        <v>97</v>
      </c>
      <c r="D150" s="442">
        <f>D77+SUM(D8:D12)-D30-D31+D16-D33+D59+D63-D73+D64-D74-D54+D20-D35</f>
        <v>0</v>
      </c>
      <c r="E150" s="442">
        <f>E77+SUM(E8:E12)-E30-E31+E16-E33+E59+E63-E73+E64-E74-E54+E20-E35</f>
        <v>-359</v>
      </c>
      <c r="F150" s="442">
        <f>F77+SUM(F8:F12)-F30-F31+F16-F33+F59+F63-F73+F64-F74-F54+F20-F35</f>
        <v>5749</v>
      </c>
      <c r="G150" s="442">
        <f>G77+SUM(G8:G12)-G30-G31+G16-G33+G59+G63-G73+G64-G74-G54+G20-G35</f>
        <v>1996</v>
      </c>
    </row>
    <row r="151" spans="1:7" ht="12.75">
      <c r="A151" s="510" t="s">
        <v>387</v>
      </c>
      <c r="B151" s="510"/>
      <c r="C151" s="510" t="s">
        <v>388</v>
      </c>
      <c r="D151" s="445">
        <f>IF(D177=0,0,D150/D177)</f>
        <v>0</v>
      </c>
      <c r="E151" s="445">
        <f>IF(E177=0,0,E150/E177)</f>
        <v>-0.0016991669822037107</v>
      </c>
      <c r="F151" s="445">
        <f>IF(F177=0,0,F150/F177)</f>
        <v>0.02684943022604147</v>
      </c>
      <c r="G151" s="445">
        <f>IF(G177=0,0,G150/G177)</f>
        <v>0.009137855259302666</v>
      </c>
    </row>
    <row r="152" spans="1:7" s="328" customFormat="1" ht="25.5">
      <c r="A152" s="511" t="s">
        <v>389</v>
      </c>
      <c r="B152" s="511"/>
      <c r="C152" s="511" t="s">
        <v>390</v>
      </c>
      <c r="D152" s="504">
        <f>IF(D107=0,0,D150/D107)</f>
        <v>0</v>
      </c>
      <c r="E152" s="594" t="str">
        <f>IF(IF(E107=0,0,E$150/E107)&lt;0,"negativ",(IF(E107=0,0,E$150/E107)))</f>
        <v>negativ</v>
      </c>
      <c r="F152" s="594">
        <f>IF(IF(F107=0,0,F$150/F107)&lt;0,"negativ",(IF(F107=0,0,F$150/F107)))</f>
        <v>0.26961496975097315</v>
      </c>
      <c r="G152" s="594">
        <f>IF(IF(G107=0,0,G$150/G107)&lt;0,"negativ",(IF(G107=0,0,G$150/G107)))</f>
        <v>0.06965139407474613</v>
      </c>
    </row>
    <row r="153" spans="1:7" s="449" customFormat="1" ht="25.5">
      <c r="A153" s="512" t="s">
        <v>389</v>
      </c>
      <c r="B153" s="512"/>
      <c r="C153" s="512" t="s">
        <v>391</v>
      </c>
      <c r="D153" s="452">
        <f>IF(0=D108,0,D150/D108)</f>
        <v>0</v>
      </c>
      <c r="E153" s="592" t="str">
        <f>IF(IF(E108=0,0,E$150/E108)&lt;0,"negativ",(IF(E108=0,0,E$150/E108)))</f>
        <v>negativ</v>
      </c>
      <c r="F153" s="592">
        <f>IF(IF(F108=0,0,F$150/F108)&lt;0,"negativ",(IF(F108=0,0,F$150/F108)))</f>
        <v>0.2723095869647594</v>
      </c>
      <c r="G153" s="592">
        <f>IF(IF(G108=0,0,G$150/G108)&lt;0,"negativ",(IF(G108=0,0,G$150/G108)))</f>
        <v>0.07002525961268594</v>
      </c>
    </row>
    <row r="154" spans="1:7" s="449" customFormat="1" ht="25.5">
      <c r="A154" s="511" t="s">
        <v>392</v>
      </c>
      <c r="B154" s="511"/>
      <c r="C154" s="511" t="s">
        <v>393</v>
      </c>
      <c r="D154" s="456">
        <f>D150-D107</f>
        <v>0</v>
      </c>
      <c r="E154" s="456">
        <f>E150-E107</f>
        <v>-26379</v>
      </c>
      <c r="F154" s="456">
        <f>F150-F107</f>
        <v>-15574</v>
      </c>
      <c r="G154" s="456">
        <f>G150-G107</f>
        <v>-26661</v>
      </c>
    </row>
    <row r="155" spans="1:7" ht="25.5">
      <c r="A155" s="534" t="s">
        <v>394</v>
      </c>
      <c r="B155" s="534"/>
      <c r="C155" s="534" t="s">
        <v>395</v>
      </c>
      <c r="D155" s="455">
        <f>D150-D108</f>
        <v>0</v>
      </c>
      <c r="E155" s="455">
        <f>E150-E108</f>
        <v>-25580</v>
      </c>
      <c r="F155" s="455">
        <f>F150-F108</f>
        <v>-15363</v>
      </c>
      <c r="G155" s="455">
        <f>G150-G108</f>
        <v>-26508</v>
      </c>
    </row>
    <row r="156" spans="1:7" ht="12.75">
      <c r="A156" s="509" t="s">
        <v>396</v>
      </c>
      <c r="B156" s="509"/>
      <c r="C156" s="509" t="s">
        <v>397</v>
      </c>
      <c r="D156" s="457">
        <f>D135+D136-D137+D141-D142</f>
        <v>0</v>
      </c>
      <c r="E156" s="457">
        <f>E135+E136-E137+E141-E142</f>
        <v>0</v>
      </c>
      <c r="F156" s="457">
        <f>F135+F136-F137+F141-F142</f>
        <v>48556</v>
      </c>
      <c r="G156" s="457">
        <f>G135+G136-G137+G141-G142</f>
        <v>0</v>
      </c>
    </row>
    <row r="157" spans="1:7" ht="12.75">
      <c r="A157" s="514" t="s">
        <v>398</v>
      </c>
      <c r="B157" s="514"/>
      <c r="C157" s="514" t="s">
        <v>399</v>
      </c>
      <c r="D157" s="460">
        <f>IF(D177=0,0,D156/D177)</f>
        <v>0</v>
      </c>
      <c r="E157" s="460">
        <f>IF(E177=0,0,E156/E177)</f>
        <v>0</v>
      </c>
      <c r="F157" s="460">
        <f>IF(F177=0,0,F156/F177)</f>
        <v>0.22677003549411545</v>
      </c>
      <c r="G157" s="460">
        <f>IF(G177=0,0,G156/G177)</f>
        <v>0</v>
      </c>
    </row>
    <row r="158" spans="1:7" ht="12.75">
      <c r="A158" s="509" t="s">
        <v>400</v>
      </c>
      <c r="B158" s="509"/>
      <c r="C158" s="509" t="s">
        <v>401</v>
      </c>
      <c r="D158" s="457">
        <f>D133-D142-D111</f>
        <v>0</v>
      </c>
      <c r="E158" s="457">
        <f>E133-E142-E111</f>
        <v>0</v>
      </c>
      <c r="F158" s="457">
        <f>F133-F142-F111</f>
        <v>-82591</v>
      </c>
      <c r="G158" s="457">
        <f>G133-G142-G111</f>
        <v>0</v>
      </c>
    </row>
    <row r="159" spans="1:7" ht="12.75">
      <c r="A159" s="510" t="s">
        <v>402</v>
      </c>
      <c r="B159" s="510"/>
      <c r="C159" s="510" t="s">
        <v>403</v>
      </c>
      <c r="D159" s="461">
        <f>D121-D123-D124-D142-D145</f>
        <v>0</v>
      </c>
      <c r="E159" s="461">
        <f>E121-E123-E124-E142-E145</f>
        <v>0</v>
      </c>
      <c r="F159" s="461">
        <f>F121-F123-F124-F142-F145</f>
        <v>-112489</v>
      </c>
      <c r="G159" s="461">
        <f>G121-G123-G124-G142-G145</f>
        <v>0</v>
      </c>
    </row>
    <row r="160" spans="1:7" ht="12.75">
      <c r="A160" s="510" t="s">
        <v>404</v>
      </c>
      <c r="B160" s="510"/>
      <c r="C160" s="510" t="s">
        <v>405</v>
      </c>
      <c r="D160" s="462" t="str">
        <f>IF(D175=0,"-",1000*D158/D175)</f>
        <v>-</v>
      </c>
      <c r="E160" s="462">
        <f>IF(E175=0,"-",1000*E158/E175)</f>
        <v>0</v>
      </c>
      <c r="F160" s="462">
        <f>IF(F175=0,"-",1000*F158/F175)</f>
        <v>-2275.2341597796144</v>
      </c>
      <c r="G160" s="462">
        <f>IF(G175=0,"-",1000*G158/G175)</f>
        <v>0</v>
      </c>
    </row>
    <row r="161" spans="1:7" ht="12.75">
      <c r="A161" s="510" t="s">
        <v>404</v>
      </c>
      <c r="B161" s="510"/>
      <c r="C161" s="510" t="s">
        <v>406</v>
      </c>
      <c r="D161" s="461">
        <f>IF(D175=0,0,1000*(D159/D175))</f>
        <v>0</v>
      </c>
      <c r="E161" s="461">
        <f>IF(E175=0,0,1000*(E159/E175))</f>
        <v>0</v>
      </c>
      <c r="F161" s="461">
        <f>IF(F175=0,0,1000*(F159/F175))</f>
        <v>-3098.870523415978</v>
      </c>
      <c r="G161" s="461">
        <f>IF(G175=0,0,1000*(G159/G175))</f>
        <v>0</v>
      </c>
    </row>
    <row r="162" spans="1:7" ht="12.75">
      <c r="A162" s="514" t="s">
        <v>407</v>
      </c>
      <c r="B162" s="514"/>
      <c r="C162" s="514" t="s">
        <v>408</v>
      </c>
      <c r="D162" s="460">
        <f>IF((D22+D23+D65+D66)=0,0,D158/(D22+D23+D65+D66))</f>
        <v>0</v>
      </c>
      <c r="E162" s="460">
        <f>IF((E22+E23+E65+E66)=0,0,E158/(E22+E23+E65+E66))</f>
        <v>0</v>
      </c>
      <c r="F162" s="460">
        <f>IF((F22+F23+F65+F66)=0,0,F158/(F22+F23+F65+F66))</f>
        <v>-0.9903591342406619</v>
      </c>
      <c r="G162" s="460">
        <f>IF((G22+G23+G65+G66)=0,0,G158/(G22+G23+G65+G66))</f>
        <v>0</v>
      </c>
    </row>
    <row r="163" spans="1:7" ht="12.75">
      <c r="A163" s="510" t="s">
        <v>409</v>
      </c>
      <c r="B163" s="510"/>
      <c r="C163" s="510" t="s">
        <v>380</v>
      </c>
      <c r="D163" s="442">
        <f>D145</f>
        <v>0</v>
      </c>
      <c r="E163" s="442">
        <f>E145</f>
        <v>0</v>
      </c>
      <c r="F163" s="442">
        <f>F145</f>
        <v>195447</v>
      </c>
      <c r="G163" s="442">
        <f>G145</f>
        <v>0</v>
      </c>
    </row>
    <row r="164" spans="1:7" ht="25.5">
      <c r="A164" s="512" t="s">
        <v>411</v>
      </c>
      <c r="B164" s="514"/>
      <c r="C164" s="514" t="s">
        <v>412</v>
      </c>
      <c r="D164" s="452">
        <f>IF(D178=0,0,D146/D178)</f>
        <v>0</v>
      </c>
      <c r="E164" s="452">
        <f>IF(E178=0,0,E146/E178)</f>
        <v>0</v>
      </c>
      <c r="F164" s="452">
        <f>IF(F178=0,0,F146/F178)</f>
        <v>0.6862918748926864</v>
      </c>
      <c r="G164" s="452">
        <f>IF(G178=0,0,G146/G178)</f>
        <v>0</v>
      </c>
    </row>
    <row r="165" spans="1:7" ht="12.75">
      <c r="A165" s="515" t="s">
        <v>681</v>
      </c>
      <c r="B165" s="515"/>
      <c r="C165" s="515" t="s">
        <v>414</v>
      </c>
      <c r="D165" s="465">
        <f>IF(D177=0,0,D180/D177)</f>
        <v>0</v>
      </c>
      <c r="E165" s="465">
        <f>IF(E177=0,0,E180/E177)</f>
        <v>0.04878833775085195</v>
      </c>
      <c r="F165" s="465">
        <f>IF(F177=0,0,F180/F177)</f>
        <v>0.05196151690640762</v>
      </c>
      <c r="G165" s="465">
        <f>IF(G177=0,0,G180/G177)</f>
        <v>0.05839803691766774</v>
      </c>
    </row>
    <row r="166" spans="1:7" ht="12.75">
      <c r="A166" s="510" t="s">
        <v>415</v>
      </c>
      <c r="B166" s="510"/>
      <c r="C166" s="510" t="s">
        <v>282</v>
      </c>
      <c r="D166" s="442">
        <f>D55</f>
        <v>0</v>
      </c>
      <c r="E166" s="442">
        <f>E55</f>
        <v>17805</v>
      </c>
      <c r="F166" s="442">
        <f>F55</f>
        <v>16996</v>
      </c>
      <c r="G166" s="442">
        <f>G55</f>
        <v>17410</v>
      </c>
    </row>
    <row r="167" spans="1:7" ht="12.75">
      <c r="A167" s="514" t="s">
        <v>416</v>
      </c>
      <c r="B167" s="514"/>
      <c r="C167" s="514" t="s">
        <v>417</v>
      </c>
      <c r="D167" s="460">
        <f>IF(0=D111,0,(D44+D45+D46+D47+D48)/D111)</f>
        <v>0</v>
      </c>
      <c r="E167" s="460">
        <f>IF(0=E111,0,(E44+E45+E46+E47+E48)/E111)</f>
        <v>0</v>
      </c>
      <c r="F167" s="460">
        <f>IF(0=F111,0,(F44+F45+F46+F47+F48)/F111)</f>
        <v>0.01370645650455992</v>
      </c>
      <c r="G167" s="460">
        <f>IF(0=G111,0,(G44+G45+G46+G47+G48)/G111)</f>
        <v>0</v>
      </c>
    </row>
    <row r="168" spans="1:7" ht="12.75">
      <c r="A168" s="510" t="s">
        <v>418</v>
      </c>
      <c r="B168" s="509"/>
      <c r="C168" s="509" t="s">
        <v>419</v>
      </c>
      <c r="D168" s="442">
        <f>D38-D44</f>
        <v>0</v>
      </c>
      <c r="E168" s="442">
        <f>E38-E44</f>
        <v>-1926</v>
      </c>
      <c r="F168" s="442">
        <f>F38-F44</f>
        <v>-2016</v>
      </c>
      <c r="G168" s="442">
        <f>G38-G44</f>
        <v>-1574</v>
      </c>
    </row>
    <row r="169" spans="1:7" ht="12.75">
      <c r="A169" s="514" t="s">
        <v>420</v>
      </c>
      <c r="B169" s="514"/>
      <c r="C169" s="514" t="s">
        <v>421</v>
      </c>
      <c r="D169" s="445">
        <f>IF(D177=0,0,D168/D177)</f>
        <v>0</v>
      </c>
      <c r="E169" s="445">
        <f>IF(E177=0,0,E168/E177)</f>
        <v>-0.009115865202574782</v>
      </c>
      <c r="F169" s="445">
        <f>IF(F177=0,0,F168/F177)</f>
        <v>-0.009415281150756585</v>
      </c>
      <c r="G169" s="445">
        <f>IF(G177=0,0,G168/G177)</f>
        <v>-0.007205903896864928</v>
      </c>
    </row>
    <row r="170" spans="1:7" ht="12.75">
      <c r="A170" s="510" t="s">
        <v>422</v>
      </c>
      <c r="B170" s="510"/>
      <c r="C170" s="510" t="s">
        <v>423</v>
      </c>
      <c r="D170" s="442">
        <f>SUM(D82:D87)+SUM(D89:D94)</f>
        <v>0</v>
      </c>
      <c r="E170" s="442">
        <f>SUM(E82:E87)+SUM(E89:E94)</f>
        <v>65281</v>
      </c>
      <c r="F170" s="442">
        <f>SUM(F82:F87)+SUM(F89:F94)</f>
        <v>58382</v>
      </c>
      <c r="G170" s="442">
        <f>SUM(G82:G87)+SUM(G89:G94)</f>
        <v>45359</v>
      </c>
    </row>
    <row r="171" spans="1:7" ht="12.75">
      <c r="A171" s="510" t="s">
        <v>424</v>
      </c>
      <c r="B171" s="510"/>
      <c r="C171" s="510" t="s">
        <v>425</v>
      </c>
      <c r="D171" s="461">
        <f>SUM(D96:D102)+SUM(D104:D105)</f>
        <v>0</v>
      </c>
      <c r="E171" s="461">
        <f>SUM(E96:E102)+SUM(E104:E105)</f>
        <v>39261</v>
      </c>
      <c r="F171" s="461">
        <f>SUM(F96:F102)+SUM(F104:F105)</f>
        <v>37059</v>
      </c>
      <c r="G171" s="461">
        <f>SUM(G96:G102)+SUM(G104:G105)</f>
        <v>16702</v>
      </c>
    </row>
    <row r="172" spans="1:7" ht="12.75">
      <c r="A172" s="515" t="s">
        <v>413</v>
      </c>
      <c r="B172" s="515"/>
      <c r="C172" s="515" t="s">
        <v>426</v>
      </c>
      <c r="D172" s="465">
        <f>IF(D184=0,0,D170/D184)</f>
        <v>0</v>
      </c>
      <c r="E172" s="465">
        <f>IF(E184=0,0,E170/E184)</f>
        <v>0.23628821798412464</v>
      </c>
      <c r="F172" s="465">
        <f>IF(F184=0,0,F170/F184)</f>
        <v>0.21936904439835272</v>
      </c>
      <c r="G172" s="465">
        <f>IF(G184=0,0,G170/G184)</f>
        <v>0.1735399330463893</v>
      </c>
    </row>
    <row r="174" spans="1:7" ht="12.75">
      <c r="A174" s="467" t="s">
        <v>427</v>
      </c>
      <c r="B174" s="468"/>
      <c r="C174" s="467"/>
      <c r="D174" s="364"/>
      <c r="E174" s="364"/>
      <c r="F174" s="364"/>
      <c r="G174" s="364"/>
    </row>
    <row r="175" spans="1:7" s="260" customFormat="1" ht="12.75">
      <c r="A175" s="468" t="s">
        <v>428</v>
      </c>
      <c r="B175" s="468"/>
      <c r="C175" s="468" t="s">
        <v>455</v>
      </c>
      <c r="D175" s="470"/>
      <c r="E175" s="470">
        <v>36300</v>
      </c>
      <c r="F175" s="471">
        <v>36300</v>
      </c>
      <c r="G175" s="471">
        <v>36600</v>
      </c>
    </row>
    <row r="176" spans="1:7" ht="12.75">
      <c r="A176" s="467" t="s">
        <v>430</v>
      </c>
      <c r="B176" s="468"/>
      <c r="C176" s="468"/>
      <c r="D176" s="468"/>
      <c r="E176" s="468"/>
      <c r="F176" s="468"/>
      <c r="G176" s="468"/>
    </row>
    <row r="177" spans="1:7" ht="12.75">
      <c r="A177" s="468" t="s">
        <v>431</v>
      </c>
      <c r="B177" s="468"/>
      <c r="C177" s="468" t="s">
        <v>432</v>
      </c>
      <c r="D177" s="472">
        <f>SUM(D22:D32)+SUM(D44:D53)+SUM(D65:D72)+D75</f>
        <v>0</v>
      </c>
      <c r="E177" s="472">
        <f>SUM(E22:E32)+SUM(E44:E53)+SUM(E65:E72)+E75</f>
        <v>211280</v>
      </c>
      <c r="F177" s="472">
        <f>SUM(F22:F32)+SUM(F44:F53)+SUM(F65:F72)+F75</f>
        <v>214120</v>
      </c>
      <c r="G177" s="472">
        <f>SUM(G22:G32)+SUM(G44:G53)+SUM(G65:G72)+G75</f>
        <v>218432</v>
      </c>
    </row>
    <row r="178" spans="1:7" ht="12.75">
      <c r="A178" s="468" t="s">
        <v>433</v>
      </c>
      <c r="B178" s="468"/>
      <c r="C178" s="468" t="s">
        <v>434</v>
      </c>
      <c r="D178" s="472">
        <f>D78-D17-D20-D59-D63-D64</f>
        <v>0</v>
      </c>
      <c r="E178" s="472">
        <f>E78-E17-E20-E59-E63-E64</f>
        <v>223341</v>
      </c>
      <c r="F178" s="472">
        <f>F78-F17-F20-F59-F63-F64</f>
        <v>221314</v>
      </c>
      <c r="G178" s="472">
        <f>G78-G17-G20-G59-G63-G64</f>
        <v>230397</v>
      </c>
    </row>
    <row r="179" spans="1:7" ht="12.75">
      <c r="A179" s="468"/>
      <c r="B179" s="468"/>
      <c r="C179" s="468" t="s">
        <v>435</v>
      </c>
      <c r="D179" s="472">
        <f>D178+D170</f>
        <v>0</v>
      </c>
      <c r="E179" s="472">
        <f>E178+E170</f>
        <v>288622</v>
      </c>
      <c r="F179" s="472">
        <f>F178+F170</f>
        <v>279696</v>
      </c>
      <c r="G179" s="472">
        <f>G178+G170</f>
        <v>275756</v>
      </c>
    </row>
    <row r="180" spans="1:7" ht="12.75">
      <c r="A180" s="468" t="s">
        <v>436</v>
      </c>
      <c r="B180" s="468"/>
      <c r="C180" s="468" t="s">
        <v>437</v>
      </c>
      <c r="D180" s="472">
        <f>D38-D44+D8+D9+D10+D16-D33</f>
        <v>0</v>
      </c>
      <c r="E180" s="472">
        <f>E38-E44+E8+E9+E10+E16-E33</f>
        <v>10308</v>
      </c>
      <c r="F180" s="472">
        <f>F38-F44+F8+F9+F10+F16-F33</f>
        <v>11126</v>
      </c>
      <c r="G180" s="472">
        <f>G38-G44+G8+G9+G10+G16-G33</f>
        <v>12756</v>
      </c>
    </row>
    <row r="181" spans="1:7" ht="27" customHeight="1">
      <c r="A181" s="473" t="s">
        <v>438</v>
      </c>
      <c r="B181" s="474"/>
      <c r="C181" s="474" t="s">
        <v>439</v>
      </c>
      <c r="D181" s="475">
        <f>D22+D23+D24+D25+D26+D29+SUM(D44:D47)+SUM(D49:D53)-D54+D32-D33+SUM(D65:D70)+D72</f>
        <v>0</v>
      </c>
      <c r="E181" s="475">
        <f>E22+E23+E24+E25+E26+E29+SUM(E44:E47)+SUM(E49:E53)-E54+E32-E33+SUM(E65:E70)+E72</f>
        <v>209542</v>
      </c>
      <c r="F181" s="475">
        <f>F22+F23+F24+F25+F26+F29+SUM(F44:F47)+SUM(F49:F53)-F54+F32-F33+SUM(F65:F70)+F72</f>
        <v>212327</v>
      </c>
      <c r="G181" s="475">
        <f>G22+G23+G24+G25+G26+G29+SUM(G44:G47)+SUM(G49:G53)-G54+G32-G33+SUM(G65:G70)+G72</f>
        <v>216837</v>
      </c>
    </row>
    <row r="182" spans="1:7" ht="12.75">
      <c r="A182" s="474" t="s">
        <v>440</v>
      </c>
      <c r="B182" s="474"/>
      <c r="C182" s="474" t="s">
        <v>441</v>
      </c>
      <c r="D182" s="475">
        <f>D181+D171</f>
        <v>0</v>
      </c>
      <c r="E182" s="475">
        <f>E181+E171</f>
        <v>248803</v>
      </c>
      <c r="F182" s="475">
        <f>F181+F171</f>
        <v>249386</v>
      </c>
      <c r="G182" s="475">
        <f>G181+G171</f>
        <v>233539</v>
      </c>
    </row>
    <row r="183" spans="1:7" ht="12.75">
      <c r="A183" s="474" t="s">
        <v>442</v>
      </c>
      <c r="B183" s="474"/>
      <c r="C183" s="474" t="s">
        <v>443</v>
      </c>
      <c r="D183" s="475">
        <f>D4+D5-D7+D38+D39+D40+D41+D43+D13-D16+D57+D58+D60+D61+D62</f>
        <v>0</v>
      </c>
      <c r="E183" s="475">
        <f>E4+E5-E7+E38+E39+E40+E41+E43+E13-E16+E57+E58+E60+E61+E62</f>
        <v>210996</v>
      </c>
      <c r="F183" s="475">
        <f>F4+F5-F7+F38+F39+F40+F41+F43+F13-F16+F57+F58+F60+F61+F62</f>
        <v>207754</v>
      </c>
      <c r="G183" s="475">
        <f>G4+G5-G7+G38+G39+G40+G41+G43+G13-G16+G57+G58+G60+G61+G62</f>
        <v>216016</v>
      </c>
    </row>
    <row r="184" spans="1:7" ht="12.75">
      <c r="A184" s="474" t="s">
        <v>444</v>
      </c>
      <c r="B184" s="474"/>
      <c r="C184" s="474" t="s">
        <v>445</v>
      </c>
      <c r="D184" s="475">
        <f>D183+D170</f>
        <v>0</v>
      </c>
      <c r="E184" s="475">
        <f>E183+E170</f>
        <v>276277</v>
      </c>
      <c r="F184" s="475">
        <f>F183+F170</f>
        <v>266136</v>
      </c>
      <c r="G184" s="475">
        <f>G183+G170</f>
        <v>261375</v>
      </c>
    </row>
    <row r="185" spans="1:7" ht="12.75">
      <c r="A185" s="474"/>
      <c r="B185" s="474"/>
      <c r="C185" s="474" t="s">
        <v>446</v>
      </c>
      <c r="D185" s="475">
        <f aca="true" t="shared" si="0" ref="D185:G186">D181-D183</f>
        <v>0</v>
      </c>
      <c r="E185" s="475">
        <f t="shared" si="0"/>
        <v>-1454</v>
      </c>
      <c r="F185" s="475">
        <f t="shared" si="0"/>
        <v>4573</v>
      </c>
      <c r="G185" s="475">
        <f t="shared" si="0"/>
        <v>821</v>
      </c>
    </row>
    <row r="186" spans="1:7" ht="12.75">
      <c r="A186" s="474"/>
      <c r="B186" s="474"/>
      <c r="C186" s="474" t="s">
        <v>447</v>
      </c>
      <c r="D186" s="475">
        <f t="shared" si="0"/>
        <v>0</v>
      </c>
      <c r="E186" s="475">
        <f t="shared" si="0"/>
        <v>-27474</v>
      </c>
      <c r="F186" s="475">
        <f t="shared" si="0"/>
        <v>-16750</v>
      </c>
      <c r="G186" s="475">
        <f t="shared" si="0"/>
        <v>-27836</v>
      </c>
    </row>
  </sheetData>
  <sheetProtection/>
  <mergeCells count="2">
    <mergeCell ref="A3:C3"/>
    <mergeCell ref="A81:C8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&amp;LFachgruppe für kantonale Finanzfragen (FkF)
Groupe d'études pour les finances cantonales
&amp;CRechnung 2011 - Budget 2013
Compte 2011 - Budget 2013&amp;RZürich, 12.9.2013</oddHeader>
    <oddFooter>&amp;LQuelle/Source: FkF Sept. 2013</oddFooter>
  </headerFooter>
  <rowBreaks count="2" manualBreakCount="2">
    <brk id="79" max="6" man="1"/>
    <brk id="1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Finanzverwaltung</dc:creator>
  <cp:keywords/>
  <dc:description/>
  <cp:lastModifiedBy>Peter Mischler</cp:lastModifiedBy>
  <cp:lastPrinted>2013-09-12T16:26:39Z</cp:lastPrinted>
  <dcterms:created xsi:type="dcterms:W3CDTF">1998-11-13T16:50:35Z</dcterms:created>
  <dcterms:modified xsi:type="dcterms:W3CDTF">2013-09-13T05:39:08Z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1348697941</vt:i4>
  </property>
  <property fmtid="{D5CDD505-2E9C-101B-9397-08002B2CF9AE}" pid="3" name="_EmailSubject">
    <vt:lpwstr>Dat</vt:lpwstr>
  </property>
  <property fmtid="{D5CDD505-2E9C-101B-9397-08002B2CF9AE}" pid="4" name="_AuthorEmail">
    <vt:lpwstr>m.meyer-kocherhans@bluewin.ch</vt:lpwstr>
  </property>
  <property fmtid="{D5CDD505-2E9C-101B-9397-08002B2CF9AE}" pid="5" name="_AuthorEmailDisplayName">
    <vt:lpwstr>Margrith Meyer</vt:lpwstr>
  </property>
  <property fmtid="{D5CDD505-2E9C-101B-9397-08002B2CF9AE}" pid="6" name="_PreviousAdHocReviewCycleID">
    <vt:i4>-2060120505</vt:i4>
  </property>
  <property fmtid="{D5CDD505-2E9C-101B-9397-08002B2CF9AE}" pid="7" name="_ReviewingToolsShownOnce">
    <vt:lpwstr/>
  </property>
</Properties>
</file>